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3022_Library_and_Learning_Resources\2. Informasjonsressurser\Samlinger\Studentoppgaver\MSc\2019\vedlegg\2287845\"/>
    </mc:Choice>
  </mc:AlternateContent>
  <bookViews>
    <workbookView xWindow="-110" yWindow="-110" windowWidth="19420" windowHeight="10420"/>
  </bookViews>
  <sheets>
    <sheet name="data" sheetId="1" r:id="rId1"/>
    <sheet name="sample" sheetId="2" r:id="rId2"/>
    <sheet name="diesel prices" sheetId="3" r:id="rId3"/>
    <sheet name="option calc" sheetId="4" r:id="rId4"/>
    <sheet name="heating oil" sheetId="5" r:id="rId5"/>
    <sheet name="agnico" sheetId="6" r:id="rId6"/>
    <sheet name="harmony" sheetId="7" r:id="rId7"/>
    <sheet name="iamgold" sheetId="8" r:id="rId8"/>
    <sheet name="barrick" sheetId="9" r:id="rId9"/>
    <sheet name="new gold" sheetId="10" r:id="rId10"/>
    <sheet name="anglogold" sheetId="11" r:id="rId11"/>
    <sheet name="gold fields" sheetId="12" r:id="rId12"/>
    <sheet name="goldcorp" sheetId="13" r:id="rId13"/>
    <sheet name="Kinross" sheetId="14" r:id="rId14"/>
    <sheet name="Newmont" sheetId="15" r:id="rId15"/>
    <sheet name="eldorado" sheetId="16" r:id="rId16"/>
    <sheet name="yamana" sheetId="17" r:id="rId17"/>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21" i="17" l="1"/>
  <c r="J207" i="17"/>
  <c r="K207" i="17" s="1"/>
  <c r="L207" i="17" s="1"/>
  <c r="I207" i="17"/>
  <c r="H207" i="17"/>
  <c r="F207" i="17"/>
  <c r="D201" i="17"/>
  <c r="D198" i="17"/>
  <c r="K191" i="17"/>
  <c r="M185" i="17"/>
  <c r="C184" i="17"/>
  <c r="J167" i="17"/>
  <c r="D154" i="17"/>
  <c r="D148" i="17"/>
  <c r="K144" i="17"/>
  <c r="D134" i="17"/>
  <c r="M121" i="17"/>
  <c r="D114" i="17"/>
  <c r="M105" i="17"/>
  <c r="D95" i="17"/>
  <c r="M86" i="17"/>
  <c r="D68" i="17"/>
  <c r="K56" i="17"/>
  <c r="C40" i="17"/>
  <c r="E29" i="17"/>
  <c r="E28" i="17"/>
  <c r="E27" i="17"/>
  <c r="E16" i="17"/>
  <c r="D8" i="17"/>
  <c r="D123" i="16"/>
  <c r="H120" i="16"/>
  <c r="H117" i="16"/>
  <c r="D109" i="16"/>
  <c r="I106" i="16"/>
  <c r="I103" i="16"/>
  <c r="D103" i="16"/>
  <c r="D92" i="16"/>
  <c r="J91" i="16"/>
  <c r="J93" i="16" s="1"/>
  <c r="J94" i="16" s="1"/>
  <c r="H89" i="16"/>
  <c r="D88" i="16"/>
  <c r="G75" i="16"/>
  <c r="I74" i="16"/>
  <c r="I72" i="16"/>
  <c r="D62" i="16"/>
  <c r="H60" i="16"/>
  <c r="D60" i="16"/>
  <c r="D52" i="16"/>
  <c r="D50" i="16"/>
  <c r="F48" i="16"/>
  <c r="I45" i="16"/>
  <c r="F35" i="16"/>
  <c r="D33" i="16"/>
  <c r="F32" i="16"/>
  <c r="D31" i="16"/>
  <c r="E20" i="16"/>
  <c r="D20" i="16"/>
  <c r="G19" i="16"/>
  <c r="H20" i="16" s="1"/>
  <c r="E18" i="16"/>
  <c r="D18" i="16"/>
  <c r="J17" i="16"/>
  <c r="I215" i="15"/>
  <c r="J196" i="15"/>
  <c r="F186" i="15"/>
  <c r="F166" i="15"/>
  <c r="L138" i="15"/>
  <c r="J121" i="15"/>
  <c r="J102" i="15"/>
  <c r="H70" i="15"/>
  <c r="G70" i="15"/>
  <c r="H69" i="15"/>
  <c r="G69" i="15"/>
  <c r="F69" i="15"/>
  <c r="E69" i="15"/>
  <c r="M78" i="15" s="1"/>
  <c r="D69" i="15"/>
  <c r="H67" i="15"/>
  <c r="G67" i="15"/>
  <c r="F67" i="15"/>
  <c r="E67" i="15"/>
  <c r="D67" i="15"/>
  <c r="H62" i="15"/>
  <c r="G62" i="15"/>
  <c r="F62" i="15"/>
  <c r="E62" i="15"/>
  <c r="D62" i="15"/>
  <c r="H57" i="15"/>
  <c r="G57" i="15"/>
  <c r="F57" i="15"/>
  <c r="F70" i="15" s="1"/>
  <c r="E57" i="15"/>
  <c r="E70" i="15" s="1"/>
  <c r="D57" i="15"/>
  <c r="D70" i="15" s="1"/>
  <c r="G49" i="15"/>
  <c r="F49" i="15"/>
  <c r="E49" i="15"/>
  <c r="D49" i="15"/>
  <c r="G47" i="15"/>
  <c r="F47" i="15"/>
  <c r="E47" i="15"/>
  <c r="D47" i="15"/>
  <c r="G43" i="15"/>
  <c r="G50" i="15" s="1"/>
  <c r="F43" i="15"/>
  <c r="E43" i="15"/>
  <c r="D43" i="15"/>
  <c r="H39" i="15"/>
  <c r="G39" i="15"/>
  <c r="F39" i="15"/>
  <c r="F50" i="15" s="1"/>
  <c r="E39" i="15"/>
  <c r="E50" i="15" s="1"/>
  <c r="D39" i="15"/>
  <c r="D50" i="15" s="1"/>
  <c r="C17" i="15"/>
  <c r="C18" i="15" s="1"/>
  <c r="C13" i="15"/>
  <c r="L11" i="15"/>
  <c r="F313" i="14"/>
  <c r="F315" i="14" s="1"/>
  <c r="G305" i="14"/>
  <c r="G303" i="14"/>
  <c r="D287" i="14"/>
  <c r="D289" i="14" s="1"/>
  <c r="M279" i="14"/>
  <c r="E275" i="14"/>
  <c r="J274" i="14"/>
  <c r="G274" i="14"/>
  <c r="G273" i="14"/>
  <c r="J258" i="14"/>
  <c r="J260" i="14" s="1"/>
  <c r="H258" i="14"/>
  <c r="F258" i="14"/>
  <c r="I264" i="14" s="1"/>
  <c r="H257" i="14"/>
  <c r="H256" i="14"/>
  <c r="G252" i="14"/>
  <c r="F244" i="14"/>
  <c r="K247" i="14" s="1"/>
  <c r="H243" i="14"/>
  <c r="H242" i="14"/>
  <c r="H244" i="14" s="1"/>
  <c r="H237" i="14"/>
  <c r="H238" i="14" s="1"/>
  <c r="K229" i="14"/>
  <c r="K225" i="14"/>
  <c r="K218" i="14"/>
  <c r="J213" i="14"/>
  <c r="J214" i="14" s="1"/>
  <c r="G207" i="14"/>
  <c r="F207" i="14"/>
  <c r="H205" i="14"/>
  <c r="M199" i="14"/>
  <c r="F200" i="14" s="1"/>
  <c r="F201" i="14" s="1"/>
  <c r="M195" i="14"/>
  <c r="I189" i="14"/>
  <c r="I190" i="14" s="1"/>
  <c r="E180" i="14"/>
  <c r="F180" i="14" s="1"/>
  <c r="D180" i="14"/>
  <c r="F178" i="14"/>
  <c r="M166" i="14"/>
  <c r="M170" i="14" s="1"/>
  <c r="K158" i="14"/>
  <c r="D158" i="14"/>
  <c r="D160" i="14" s="1"/>
  <c r="I105" i="14"/>
  <c r="I103" i="14"/>
  <c r="E103" i="14"/>
  <c r="E104" i="14" s="1"/>
  <c r="J97" i="14"/>
  <c r="G97" i="14"/>
  <c r="D97" i="14"/>
  <c r="N42" i="14"/>
  <c r="J41" i="14"/>
  <c r="J40" i="14"/>
  <c r="N37" i="14"/>
  <c r="J38" i="14" s="1"/>
  <c r="C36" i="14"/>
  <c r="C27" i="14"/>
  <c r="E26" i="14"/>
  <c r="E25" i="14"/>
  <c r="E27" i="14" s="1"/>
  <c r="C23" i="14"/>
  <c r="E22" i="14"/>
  <c r="E21" i="14"/>
  <c r="E23" i="14" s="1"/>
  <c r="C19" i="14"/>
  <c r="E18" i="14"/>
  <c r="E17" i="14"/>
  <c r="E19" i="14" s="1"/>
  <c r="C14" i="14"/>
  <c r="E13" i="14"/>
  <c r="E12" i="14"/>
  <c r="C9" i="14"/>
  <c r="E8" i="14"/>
  <c r="E7" i="14"/>
  <c r="E216" i="13"/>
  <c r="E198" i="13"/>
  <c r="D198" i="13"/>
  <c r="E195" i="13"/>
  <c r="D195" i="13"/>
  <c r="E186" i="13"/>
  <c r="B175" i="13"/>
  <c r="B172" i="13"/>
  <c r="E157" i="13"/>
  <c r="H140" i="13"/>
  <c r="G140" i="13"/>
  <c r="F140" i="13"/>
  <c r="E140" i="13"/>
  <c r="D140" i="13"/>
  <c r="C140" i="13"/>
  <c r="H137" i="13"/>
  <c r="G137" i="13"/>
  <c r="F137" i="13"/>
  <c r="E137" i="13"/>
  <c r="D137" i="13"/>
  <c r="C137" i="13"/>
  <c r="D124" i="13"/>
  <c r="C115" i="13"/>
  <c r="C112" i="13"/>
  <c r="D104" i="13"/>
  <c r="C95" i="13"/>
  <c r="C92" i="13"/>
  <c r="E84" i="13"/>
  <c r="C70" i="13"/>
  <c r="C67" i="13"/>
  <c r="H64" i="13"/>
  <c r="E58" i="13"/>
  <c r="C48" i="13"/>
  <c r="C45" i="13"/>
  <c r="J32" i="13"/>
  <c r="J34" i="13" s="1"/>
  <c r="E27" i="13"/>
  <c r="I26" i="13"/>
  <c r="G26" i="13"/>
  <c r="G25" i="13"/>
  <c r="G27" i="13" s="1"/>
  <c r="K13" i="13"/>
  <c r="K14" i="13" s="1"/>
  <c r="E9" i="13"/>
  <c r="G8" i="13"/>
  <c r="I7" i="13"/>
  <c r="G7" i="13"/>
  <c r="G9" i="13" s="1"/>
  <c r="E237" i="12"/>
  <c r="G228" i="12"/>
  <c r="G227" i="12"/>
  <c r="G226" i="12"/>
  <c r="F208" i="12"/>
  <c r="F209" i="12" s="1"/>
  <c r="D192" i="12"/>
  <c r="C189" i="12"/>
  <c r="I174" i="12"/>
  <c r="K170" i="12"/>
  <c r="K169" i="12"/>
  <c r="J156" i="12"/>
  <c r="L153" i="12"/>
  <c r="L155" i="12" s="1"/>
  <c r="G153" i="12"/>
  <c r="E153" i="12"/>
  <c r="G152" i="12"/>
  <c r="G151" i="12"/>
  <c r="J146" i="12"/>
  <c r="I138" i="12" s="1"/>
  <c r="E137" i="12"/>
  <c r="G136" i="12"/>
  <c r="G135" i="12"/>
  <c r="G137" i="12" s="1"/>
  <c r="J120" i="12"/>
  <c r="K121" i="12" s="1"/>
  <c r="E120" i="12"/>
  <c r="I129" i="12" s="1"/>
  <c r="G119" i="12"/>
  <c r="G118" i="12"/>
  <c r="G120" i="12" s="1"/>
  <c r="J98" i="12"/>
  <c r="J100" i="12" s="1"/>
  <c r="E98" i="12"/>
  <c r="H113" i="12" s="1"/>
  <c r="G97" i="12"/>
  <c r="G96" i="12"/>
  <c r="G98" i="12" s="1"/>
  <c r="J73" i="12"/>
  <c r="J75" i="12" s="1"/>
  <c r="G73" i="12"/>
  <c r="E73" i="12"/>
  <c r="F86" i="12" s="1"/>
  <c r="G72" i="12"/>
  <c r="G71" i="12"/>
  <c r="C59" i="12"/>
  <c r="I54" i="12"/>
  <c r="I56" i="12" s="1"/>
  <c r="G54" i="12"/>
  <c r="E54" i="12"/>
  <c r="D64" i="12" s="1"/>
  <c r="G53" i="12"/>
  <c r="G52" i="12"/>
  <c r="G35" i="12"/>
  <c r="E35" i="12"/>
  <c r="G34" i="12"/>
  <c r="G33" i="12"/>
  <c r="D23" i="12"/>
  <c r="J12" i="12"/>
  <c r="D11" i="12"/>
  <c r="D12" i="12" s="1"/>
  <c r="N9" i="12"/>
  <c r="N10" i="12" s="1"/>
  <c r="I8" i="12"/>
  <c r="D174" i="11"/>
  <c r="H165" i="11"/>
  <c r="E160" i="11"/>
  <c r="G159" i="11"/>
  <c r="G158" i="11"/>
  <c r="G157" i="11"/>
  <c r="G160" i="11" s="1"/>
  <c r="G149" i="11"/>
  <c r="E139" i="11"/>
  <c r="G138" i="11"/>
  <c r="G139" i="11" s="1"/>
  <c r="G137" i="11"/>
  <c r="G136" i="11"/>
  <c r="F131" i="11"/>
  <c r="F130" i="11"/>
  <c r="E114" i="11"/>
  <c r="G113" i="11"/>
  <c r="G112" i="11"/>
  <c r="G111" i="11"/>
  <c r="H106" i="11"/>
  <c r="J105" i="11"/>
  <c r="J106" i="11" s="1"/>
  <c r="I105" i="11"/>
  <c r="I106" i="11" s="1"/>
  <c r="H105" i="11"/>
  <c r="G105" i="11"/>
  <c r="G106" i="11" s="1"/>
  <c r="E88" i="11"/>
  <c r="G87" i="11"/>
  <c r="G88" i="11" s="1"/>
  <c r="G86" i="11"/>
  <c r="G85" i="11"/>
  <c r="E80" i="11"/>
  <c r="G79" i="11"/>
  <c r="G78" i="11"/>
  <c r="G77" i="11"/>
  <c r="G80" i="11" s="1"/>
  <c r="F57" i="11"/>
  <c r="H56" i="11"/>
  <c r="H53" i="11"/>
  <c r="H51" i="11"/>
  <c r="H57" i="11" s="1"/>
  <c r="D43" i="11"/>
  <c r="F42" i="11"/>
  <c r="F41" i="11"/>
  <c r="F40" i="11"/>
  <c r="Q26" i="11"/>
  <c r="P29" i="11" s="1"/>
  <c r="D26" i="11"/>
  <c r="Q25" i="11"/>
  <c r="F25" i="11"/>
  <c r="F24" i="11"/>
  <c r="F26" i="11" s="1"/>
  <c r="F23" i="11"/>
  <c r="L15" i="11"/>
  <c r="E13" i="11"/>
  <c r="P11" i="11"/>
  <c r="P12" i="11" s="1"/>
  <c r="P15" i="11" s="1"/>
  <c r="J11" i="11"/>
  <c r="P9" i="11"/>
  <c r="D9" i="11"/>
  <c r="C9" i="11"/>
  <c r="E7" i="11"/>
  <c r="D6" i="11"/>
  <c r="C6" i="11"/>
  <c r="J276" i="10"/>
  <c r="H278" i="10" s="1"/>
  <c r="J275" i="10"/>
  <c r="J274" i="10"/>
  <c r="F268" i="10"/>
  <c r="D268" i="10"/>
  <c r="F267" i="10"/>
  <c r="F266" i="10"/>
  <c r="D260" i="10"/>
  <c r="I250" i="10"/>
  <c r="I249" i="10"/>
  <c r="J234" i="10"/>
  <c r="H236" i="10" s="1"/>
  <c r="J233" i="10"/>
  <c r="J232" i="10"/>
  <c r="F228" i="10"/>
  <c r="D228" i="10"/>
  <c r="E240" i="10" s="1"/>
  <c r="F227" i="10"/>
  <c r="F226" i="10"/>
  <c r="H220" i="10"/>
  <c r="D210" i="10"/>
  <c r="J201" i="10"/>
  <c r="J202" i="10" s="1"/>
  <c r="H204" i="10" s="1"/>
  <c r="J200" i="10"/>
  <c r="D195" i="10"/>
  <c r="D211" i="10" s="1"/>
  <c r="F194" i="10"/>
  <c r="F195" i="10" s="1"/>
  <c r="F193" i="10"/>
  <c r="K182" i="10"/>
  <c r="K183" i="10" s="1"/>
  <c r="I185" i="10" s="1"/>
  <c r="K181" i="10"/>
  <c r="D178" i="10"/>
  <c r="F177" i="10"/>
  <c r="F178" i="10" s="1"/>
  <c r="F176" i="10"/>
  <c r="J163" i="10"/>
  <c r="J164" i="10" s="1"/>
  <c r="H166" i="10" s="1"/>
  <c r="J162" i="10"/>
  <c r="D159" i="10"/>
  <c r="F158" i="10"/>
  <c r="F159" i="10" s="1"/>
  <c r="F157" i="10"/>
  <c r="F152" i="10"/>
  <c r="H146" i="10"/>
  <c r="J144" i="10"/>
  <c r="J143" i="10"/>
  <c r="J142" i="10"/>
  <c r="F138" i="10"/>
  <c r="D138" i="10"/>
  <c r="F137" i="10"/>
  <c r="F136" i="10"/>
  <c r="E129" i="10"/>
  <c r="K121" i="10"/>
  <c r="K120" i="10"/>
  <c r="F117" i="10"/>
  <c r="D117" i="10"/>
  <c r="F116" i="10"/>
  <c r="F115" i="10"/>
  <c r="D108" i="10"/>
  <c r="I99" i="10"/>
  <c r="G101" i="10" s="1"/>
  <c r="I98" i="10"/>
  <c r="F95" i="10"/>
  <c r="D95" i="10"/>
  <c r="F94" i="10"/>
  <c r="F93" i="10"/>
  <c r="F82" i="10"/>
  <c r="D82" i="10"/>
  <c r="F81" i="10"/>
  <c r="F80" i="10"/>
  <c r="F75" i="10"/>
  <c r="D75" i="10"/>
  <c r="F74" i="10"/>
  <c r="F73" i="10"/>
  <c r="F68" i="10"/>
  <c r="D68" i="10"/>
  <c r="F67" i="10"/>
  <c r="F66" i="10"/>
  <c r="F61" i="10"/>
  <c r="D61" i="10"/>
  <c r="F60" i="10"/>
  <c r="F59" i="10"/>
  <c r="F54" i="10"/>
  <c r="D54" i="10"/>
  <c r="F53" i="10"/>
  <c r="F52" i="10"/>
  <c r="F48" i="10"/>
  <c r="D48" i="10"/>
  <c r="F47" i="10"/>
  <c r="F46" i="10"/>
  <c r="F42" i="10"/>
  <c r="D42" i="10"/>
  <c r="F41" i="10"/>
  <c r="F40" i="10"/>
  <c r="F34" i="10"/>
  <c r="D34" i="10"/>
  <c r="F33" i="10"/>
  <c r="F32" i="10"/>
  <c r="F26" i="10"/>
  <c r="D26" i="10"/>
  <c r="F25" i="10"/>
  <c r="F24" i="10"/>
  <c r="I22" i="10"/>
  <c r="C11" i="10"/>
  <c r="C14" i="10" s="1"/>
  <c r="G16" i="10" s="1"/>
  <c r="I5" i="10"/>
  <c r="H5" i="10"/>
  <c r="G179" i="9"/>
  <c r="D137" i="9"/>
  <c r="B137" i="9"/>
  <c r="F135" i="9"/>
  <c r="F149" i="9" s="1"/>
  <c r="I127" i="9"/>
  <c r="K101" i="9"/>
  <c r="C99" i="9"/>
  <c r="L88" i="9"/>
  <c r="L86" i="9"/>
  <c r="C82" i="9"/>
  <c r="L74" i="9"/>
  <c r="L72" i="9"/>
  <c r="F70" i="9"/>
  <c r="Q58" i="9"/>
  <c r="D48" i="9"/>
  <c r="C48" i="9"/>
  <c r="E46" i="9"/>
  <c r="Q60" i="9" s="1"/>
  <c r="E45" i="9"/>
  <c r="O33" i="9"/>
  <c r="G30" i="9"/>
  <c r="F30" i="9"/>
  <c r="E30" i="9"/>
  <c r="G26" i="9"/>
  <c r="O35" i="9" s="1"/>
  <c r="G25" i="9"/>
  <c r="N8" i="9"/>
  <c r="I202" i="8"/>
  <c r="D202" i="8"/>
  <c r="L201" i="8"/>
  <c r="N202" i="8" s="1"/>
  <c r="G201" i="8"/>
  <c r="B201" i="8"/>
  <c r="E195" i="8"/>
  <c r="E193" i="8"/>
  <c r="I185" i="8"/>
  <c r="D185" i="8"/>
  <c r="L184" i="8"/>
  <c r="N185" i="8" s="1"/>
  <c r="G184" i="8"/>
  <c r="B184" i="8"/>
  <c r="E178" i="8"/>
  <c r="E176" i="8"/>
  <c r="H156" i="8"/>
  <c r="G157" i="8" s="1"/>
  <c r="H149" i="8"/>
  <c r="J148" i="8"/>
  <c r="G148" i="8"/>
  <c r="J147" i="8"/>
  <c r="J149" i="8" s="1"/>
  <c r="G147" i="8"/>
  <c r="J146" i="8"/>
  <c r="G146" i="8"/>
  <c r="T139" i="8"/>
  <c r="O139" i="8"/>
  <c r="P133" i="8"/>
  <c r="P132" i="8"/>
  <c r="P131" i="8"/>
  <c r="T124" i="8"/>
  <c r="G117" i="8" s="1"/>
  <c r="G118" i="8" s="1"/>
  <c r="O124" i="8"/>
  <c r="P118" i="8"/>
  <c r="P116" i="8"/>
  <c r="X115" i="8"/>
  <c r="Y117" i="8" s="1"/>
  <c r="H115" i="8"/>
  <c r="J114" i="8"/>
  <c r="G114" i="8"/>
  <c r="J113" i="8"/>
  <c r="G113" i="8"/>
  <c r="J112" i="8"/>
  <c r="G112" i="8"/>
  <c r="S109" i="8"/>
  <c r="S110" i="8" s="1"/>
  <c r="J109" i="8"/>
  <c r="Z108" i="8"/>
  <c r="J107" i="8"/>
  <c r="P106" i="8"/>
  <c r="H109" i="8" s="1"/>
  <c r="G109" i="8" s="1"/>
  <c r="H99" i="8"/>
  <c r="J98" i="8"/>
  <c r="G98" i="8"/>
  <c r="J97" i="8"/>
  <c r="G97" i="8"/>
  <c r="J96" i="8"/>
  <c r="G96" i="8"/>
  <c r="L87" i="8"/>
  <c r="K90" i="8" s="1"/>
  <c r="K87" i="8"/>
  <c r="I87" i="8"/>
  <c r="G87" i="8"/>
  <c r="P82" i="8"/>
  <c r="P80" i="8"/>
  <c r="E79" i="8"/>
  <c r="K92" i="8" s="1"/>
  <c r="G78" i="8"/>
  <c r="G79" i="8" s="1"/>
  <c r="G77" i="8"/>
  <c r="G76" i="8"/>
  <c r="Q72" i="8"/>
  <c r="Q73" i="8" s="1"/>
  <c r="C72" i="8"/>
  <c r="D69" i="8"/>
  <c r="Q68" i="8"/>
  <c r="Q66" i="8"/>
  <c r="E64" i="8"/>
  <c r="G63" i="8"/>
  <c r="G62" i="8"/>
  <c r="G61" i="8"/>
  <c r="G64" i="8" s="1"/>
  <c r="O55" i="8"/>
  <c r="O56" i="8" s="1"/>
  <c r="D53" i="8"/>
  <c r="J52" i="8"/>
  <c r="O51" i="8"/>
  <c r="O49" i="8"/>
  <c r="E48" i="8"/>
  <c r="G47" i="8"/>
  <c r="G46" i="8"/>
  <c r="G45" i="8"/>
  <c r="G48" i="8" s="1"/>
  <c r="W43" i="8"/>
  <c r="R43" i="8"/>
  <c r="C41" i="8"/>
  <c r="R37" i="8"/>
  <c r="J37" i="8"/>
  <c r="J32" i="8" s="1"/>
  <c r="R35" i="8"/>
  <c r="E32" i="8"/>
  <c r="D32" i="8"/>
  <c r="R31" i="8"/>
  <c r="G31" i="8"/>
  <c r="G32" i="8" s="1"/>
  <c r="G30" i="8"/>
  <c r="G29" i="8"/>
  <c r="R25" i="8"/>
  <c r="C25" i="8"/>
  <c r="W24" i="8"/>
  <c r="I18" i="8" s="1"/>
  <c r="M17" i="8" s="1"/>
  <c r="I17" i="8"/>
  <c r="G16" i="8"/>
  <c r="I13" i="8"/>
  <c r="I12" i="8"/>
  <c r="C12" i="8"/>
  <c r="G2" i="8"/>
  <c r="E52" i="7"/>
  <c r="B74" i="6"/>
  <c r="H69" i="6"/>
  <c r="E66" i="6"/>
  <c r="B60" i="6"/>
  <c r="B52" i="6"/>
  <c r="C40" i="6"/>
  <c r="E39" i="6"/>
  <c r="C28" i="6"/>
  <c r="E27" i="6"/>
  <c r="E14" i="6"/>
  <c r="B14" i="6"/>
  <c r="H6" i="6"/>
  <c r="D18" i="4"/>
  <c r="E18" i="4" s="1"/>
  <c r="C18" i="4"/>
  <c r="B18" i="4"/>
  <c r="D16" i="4"/>
  <c r="C16" i="4"/>
  <c r="B16" i="4"/>
  <c r="E16" i="4" s="1"/>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AB341" i="2"/>
  <c r="I341" i="2"/>
  <c r="AA340" i="2"/>
  <c r="Z340" i="2"/>
  <c r="V340" i="2"/>
  <c r="L340" i="2"/>
  <c r="K340" i="2"/>
  <c r="AA339" i="2"/>
  <c r="Z339" i="2"/>
  <c r="V339" i="2"/>
  <c r="L339" i="2"/>
  <c r="K339" i="2"/>
  <c r="AA338" i="2"/>
  <c r="Z338" i="2"/>
  <c r="V338" i="2"/>
  <c r="L338" i="2"/>
  <c r="K338" i="2"/>
  <c r="AA337" i="2"/>
  <c r="Z337" i="2"/>
  <c r="V337" i="2"/>
  <c r="L337" i="2"/>
  <c r="K337" i="2"/>
  <c r="AA336" i="2"/>
  <c r="Z336" i="2"/>
  <c r="V336" i="2"/>
  <c r="L336" i="2"/>
  <c r="K336" i="2"/>
  <c r="AA335" i="2"/>
  <c r="Z335" i="2"/>
  <c r="V335" i="2"/>
  <c r="L335" i="2"/>
  <c r="K335" i="2"/>
  <c r="AA334" i="2"/>
  <c r="Z334" i="2"/>
  <c r="V334" i="2"/>
  <c r="L334" i="2"/>
  <c r="K334" i="2"/>
  <c r="AA333" i="2"/>
  <c r="Z333" i="2"/>
  <c r="V333" i="2"/>
  <c r="L333" i="2"/>
  <c r="K333" i="2"/>
  <c r="AA332" i="2"/>
  <c r="Z332" i="2"/>
  <c r="V332" i="2"/>
  <c r="L332" i="2"/>
  <c r="K332" i="2"/>
  <c r="I331" i="2"/>
  <c r="I330" i="2"/>
  <c r="I329" i="2"/>
  <c r="I328" i="2"/>
  <c r="I327" i="2"/>
  <c r="I326" i="2"/>
  <c r="I325" i="2"/>
  <c r="I324" i="2"/>
  <c r="I323" i="2"/>
  <c r="I322" i="2"/>
  <c r="I321" i="2"/>
  <c r="I320" i="2"/>
  <c r="I319" i="2"/>
  <c r="I318" i="2"/>
  <c r="I317" i="2"/>
  <c r="L303" i="2"/>
  <c r="K303" i="2"/>
  <c r="AC284" i="2"/>
  <c r="AA283" i="2"/>
  <c r="Z283" i="2"/>
  <c r="V283" i="2"/>
  <c r="L283" i="2"/>
  <c r="K283" i="2"/>
  <c r="AA282" i="2"/>
  <c r="V282" i="2"/>
  <c r="Z282" i="2" s="1"/>
  <c r="L282" i="2"/>
  <c r="K282" i="2"/>
  <c r="AA281" i="2"/>
  <c r="V281" i="2"/>
  <c r="Z281" i="2" s="1"/>
  <c r="L281" i="2"/>
  <c r="K281" i="2"/>
  <c r="AA280" i="2"/>
  <c r="V280" i="2"/>
  <c r="Z280" i="2" s="1"/>
  <c r="L280" i="2"/>
  <c r="K280" i="2"/>
  <c r="AA279" i="2"/>
  <c r="Z279" i="2"/>
  <c r="V279" i="2"/>
  <c r="L279" i="2"/>
  <c r="K279" i="2"/>
  <c r="AA278" i="2"/>
  <c r="V278" i="2"/>
  <c r="Z278" i="2" s="1"/>
  <c r="L278" i="2"/>
  <c r="K278" i="2"/>
  <c r="AA277" i="2"/>
  <c r="V277" i="2"/>
  <c r="Z277" i="2" s="1"/>
  <c r="L277" i="2"/>
  <c r="K277" i="2"/>
  <c r="AA276" i="2"/>
  <c r="Z276" i="2"/>
  <c r="V276" i="2"/>
  <c r="L276" i="2"/>
  <c r="K276" i="2"/>
  <c r="AA275" i="2"/>
  <c r="Z275" i="2"/>
  <c r="V275" i="2"/>
  <c r="L275" i="2"/>
  <c r="K275" i="2"/>
  <c r="AB270" i="2"/>
  <c r="AG269" i="2"/>
  <c r="AA269" i="2"/>
  <c r="Z269" i="2"/>
  <c r="L269" i="2"/>
  <c r="K269" i="2"/>
  <c r="I269" i="2"/>
  <c r="AA268" i="2"/>
  <c r="Z268" i="2"/>
  <c r="L268" i="2"/>
  <c r="K268" i="2"/>
  <c r="I268" i="2"/>
  <c r="AA267" i="2"/>
  <c r="Z267" i="2"/>
  <c r="L267" i="2"/>
  <c r="K267" i="2"/>
  <c r="I267" i="2"/>
  <c r="AA266" i="2"/>
  <c r="Z266" i="2"/>
  <c r="L266" i="2"/>
  <c r="K266" i="2"/>
  <c r="I266" i="2"/>
  <c r="AA265" i="2"/>
  <c r="Z265" i="2"/>
  <c r="L265" i="2"/>
  <c r="K265" i="2"/>
  <c r="I265" i="2"/>
  <c r="AA264" i="2"/>
  <c r="Z264" i="2"/>
  <c r="L264" i="2"/>
  <c r="K264" i="2"/>
  <c r="I264" i="2"/>
  <c r="AA263" i="2"/>
  <c r="Z263" i="2"/>
  <c r="L263" i="2"/>
  <c r="K263" i="2"/>
  <c r="I263" i="2"/>
  <c r="AA262" i="2"/>
  <c r="Z262" i="2"/>
  <c r="L262" i="2"/>
  <c r="K262" i="2"/>
  <c r="I262" i="2"/>
  <c r="AD261" i="2"/>
  <c r="AA261" i="2"/>
  <c r="Z261" i="2"/>
  <c r="L261" i="2"/>
  <c r="K261" i="2"/>
  <c r="AC227" i="2"/>
  <c r="AA226" i="2"/>
  <c r="Z226" i="2"/>
  <c r="L226" i="2"/>
  <c r="K226" i="2"/>
  <c r="I226" i="2"/>
  <c r="AA225" i="2"/>
  <c r="Z225" i="2"/>
  <c r="L225" i="2"/>
  <c r="K225" i="2"/>
  <c r="I225" i="2"/>
  <c r="AA224" i="2"/>
  <c r="Z224" i="2"/>
  <c r="K224" i="2"/>
  <c r="I224" i="2"/>
  <c r="AA223" i="2"/>
  <c r="Z223" i="2"/>
  <c r="K223" i="2"/>
  <c r="I223" i="2"/>
  <c r="AA222" i="2"/>
  <c r="Z222" i="2"/>
  <c r="K222" i="2"/>
  <c r="I222" i="2"/>
  <c r="AA221" i="2"/>
  <c r="Z221" i="2"/>
  <c r="K221" i="2"/>
  <c r="I221" i="2"/>
  <c r="AD220" i="2"/>
  <c r="AA220" i="2"/>
  <c r="Z220" i="2"/>
  <c r="K220" i="2"/>
  <c r="I220" i="2"/>
  <c r="AA219" i="2"/>
  <c r="Z219" i="2"/>
  <c r="K219" i="2"/>
  <c r="I219" i="2"/>
  <c r="AA218" i="2"/>
  <c r="Z218" i="2"/>
  <c r="J218" i="2"/>
  <c r="AC168" i="2"/>
  <c r="AA167" i="2"/>
  <c r="Z167" i="2"/>
  <c r="V167" i="2"/>
  <c r="L167" i="2"/>
  <c r="K167" i="2"/>
  <c r="AA166" i="2"/>
  <c r="Z166" i="2"/>
  <c r="V166" i="2"/>
  <c r="L166" i="2"/>
  <c r="K166" i="2"/>
  <c r="AA165" i="2"/>
  <c r="Z165" i="2"/>
  <c r="V165" i="2"/>
  <c r="L165" i="2"/>
  <c r="K165" i="2"/>
  <c r="AA164" i="2"/>
  <c r="Z164" i="2"/>
  <c r="V164" i="2"/>
  <c r="L164" i="2"/>
  <c r="K164" i="2"/>
  <c r="AA163" i="2"/>
  <c r="Z163" i="2"/>
  <c r="V163" i="2"/>
  <c r="L163" i="2"/>
  <c r="K163" i="2"/>
  <c r="AA162" i="2"/>
  <c r="Z162" i="2"/>
  <c r="V162" i="2"/>
  <c r="L162" i="2"/>
  <c r="K162" i="2"/>
  <c r="AA161" i="2"/>
  <c r="Z161" i="2"/>
  <c r="V161" i="2"/>
  <c r="L161" i="2"/>
  <c r="K161" i="2"/>
  <c r="AA160" i="2"/>
  <c r="Z160" i="2"/>
  <c r="V160" i="2"/>
  <c r="L160" i="2"/>
  <c r="K160" i="2"/>
  <c r="AA159" i="2"/>
  <c r="Z159" i="2"/>
  <c r="V159" i="2"/>
  <c r="L159" i="2"/>
  <c r="K159" i="2"/>
  <c r="AC154" i="2"/>
  <c r="AA153" i="2"/>
  <c r="Z153" i="2"/>
  <c r="L153" i="2"/>
  <c r="K153" i="2"/>
  <c r="AA152" i="2"/>
  <c r="Z152" i="2"/>
  <c r="L152" i="2"/>
  <c r="K152" i="2"/>
  <c r="AA151" i="2"/>
  <c r="Z151" i="2"/>
  <c r="L151" i="2"/>
  <c r="K151" i="2"/>
  <c r="AA150" i="2"/>
  <c r="Z150" i="2"/>
  <c r="L150" i="2"/>
  <c r="K150" i="2"/>
  <c r="AA149" i="2"/>
  <c r="Z149" i="2"/>
  <c r="L149" i="2"/>
  <c r="K149" i="2"/>
  <c r="AA148" i="2"/>
  <c r="Z148" i="2"/>
  <c r="L148" i="2"/>
  <c r="K148" i="2"/>
  <c r="AA147" i="2"/>
  <c r="Z147" i="2"/>
  <c r="L147" i="2"/>
  <c r="K147" i="2"/>
  <c r="AA146" i="2"/>
  <c r="Z146" i="2"/>
  <c r="L146" i="2"/>
  <c r="K146" i="2"/>
  <c r="AA145" i="2"/>
  <c r="Z145" i="2"/>
  <c r="L145" i="2"/>
  <c r="K145" i="2"/>
  <c r="AB129" i="2"/>
  <c r="AA128" i="2"/>
  <c r="Z128" i="2"/>
  <c r="U128" i="2"/>
  <c r="L128" i="2"/>
  <c r="K128" i="2"/>
  <c r="I128" i="2"/>
  <c r="AA127" i="2"/>
  <c r="U127" i="2"/>
  <c r="T127" i="2"/>
  <c r="Z127" i="2" s="1"/>
  <c r="L127" i="2"/>
  <c r="K127" i="2"/>
  <c r="I127" i="2"/>
  <c r="AA126" i="2"/>
  <c r="Z126" i="2"/>
  <c r="U126" i="2"/>
  <c r="T126" i="2"/>
  <c r="L126" i="2"/>
  <c r="K126" i="2"/>
  <c r="I126" i="2"/>
  <c r="AA125" i="2"/>
  <c r="Z125" i="2"/>
  <c r="U125" i="2"/>
  <c r="T125" i="2"/>
  <c r="L125" i="2"/>
  <c r="K125" i="2"/>
  <c r="I125" i="2"/>
  <c r="AA124" i="2"/>
  <c r="U124" i="2"/>
  <c r="T124" i="2"/>
  <c r="Z124" i="2" s="1"/>
  <c r="L124" i="2"/>
  <c r="K124" i="2"/>
  <c r="I124" i="2"/>
  <c r="AA123" i="2"/>
  <c r="U123" i="2"/>
  <c r="T123" i="2"/>
  <c r="Z123" i="2" s="1"/>
  <c r="L123" i="2"/>
  <c r="K123" i="2"/>
  <c r="I123" i="2"/>
  <c r="AA122" i="2"/>
  <c r="Z122" i="2"/>
  <c r="U122" i="2"/>
  <c r="T122" i="2"/>
  <c r="L122" i="2"/>
  <c r="K122" i="2"/>
  <c r="I122" i="2"/>
  <c r="AA121" i="2"/>
  <c r="Z121" i="2"/>
  <c r="U121" i="2"/>
  <c r="T121" i="2"/>
  <c r="L121" i="2"/>
  <c r="K121" i="2"/>
  <c r="I121" i="2"/>
  <c r="AA120" i="2"/>
  <c r="U120" i="2"/>
  <c r="T120" i="2"/>
  <c r="Z120" i="2" s="1"/>
  <c r="Q120" i="2"/>
  <c r="L120" i="2"/>
  <c r="K120" i="2"/>
  <c r="AC73" i="2"/>
  <c r="AA72" i="2"/>
  <c r="Z72" i="2"/>
  <c r="L72" i="2"/>
  <c r="K72" i="2"/>
  <c r="I72" i="2"/>
  <c r="AA71" i="2"/>
  <c r="Z71" i="2"/>
  <c r="L71" i="2"/>
  <c r="K71" i="2"/>
  <c r="I71" i="2"/>
  <c r="AA70" i="2"/>
  <c r="Z70" i="2"/>
  <c r="L70" i="2"/>
  <c r="K70" i="2"/>
  <c r="I70" i="2"/>
  <c r="AA69" i="2"/>
  <c r="Z69" i="2"/>
  <c r="L69" i="2"/>
  <c r="K69" i="2"/>
  <c r="I69" i="2"/>
  <c r="AA68" i="2"/>
  <c r="Z68" i="2"/>
  <c r="L68" i="2"/>
  <c r="K68" i="2"/>
  <c r="I68" i="2"/>
  <c r="AA67" i="2"/>
  <c r="Z67" i="2"/>
  <c r="L67" i="2"/>
  <c r="K67" i="2"/>
  <c r="I67" i="2"/>
  <c r="AA66" i="2"/>
  <c r="Z66" i="2"/>
  <c r="L66" i="2"/>
  <c r="K66" i="2"/>
  <c r="I66" i="2"/>
  <c r="AA65" i="2"/>
  <c r="Z65" i="2"/>
  <c r="L65" i="2"/>
  <c r="K65" i="2"/>
  <c r="I65" i="2"/>
  <c r="AA64" i="2"/>
  <c r="Z64" i="2"/>
  <c r="L64" i="2"/>
  <c r="K64" i="2"/>
  <c r="AC59" i="2"/>
  <c r="AA58" i="2"/>
  <c r="Z58" i="2"/>
  <c r="L58" i="2"/>
  <c r="K58" i="2"/>
  <c r="I58" i="2"/>
  <c r="AA57" i="2"/>
  <c r="Z57" i="2"/>
  <c r="L57" i="2"/>
  <c r="K57" i="2"/>
  <c r="I57" i="2"/>
  <c r="AA56" i="2"/>
  <c r="Z56" i="2"/>
  <c r="L56" i="2"/>
  <c r="K56" i="2"/>
  <c r="I56" i="2"/>
  <c r="AA55" i="2"/>
  <c r="Z55" i="2"/>
  <c r="L55" i="2"/>
  <c r="K55" i="2"/>
  <c r="I55" i="2"/>
  <c r="AA54" i="2"/>
  <c r="Z54" i="2"/>
  <c r="L54" i="2"/>
  <c r="K54" i="2"/>
  <c r="I54" i="2"/>
  <c r="AA53" i="2"/>
  <c r="Z53" i="2"/>
  <c r="L53" i="2"/>
  <c r="K53" i="2"/>
  <c r="I53" i="2"/>
  <c r="AA52" i="2"/>
  <c r="Z52" i="2"/>
  <c r="L52" i="2"/>
  <c r="K52" i="2"/>
  <c r="I52" i="2"/>
  <c r="AA51" i="2"/>
  <c r="Z51" i="2"/>
  <c r="L51" i="2"/>
  <c r="K51" i="2"/>
  <c r="I51" i="2"/>
  <c r="AA50" i="2"/>
  <c r="Z50" i="2"/>
  <c r="L50" i="2"/>
  <c r="K50" i="2"/>
  <c r="AB31" i="2"/>
  <c r="AG30" i="2"/>
  <c r="AA30" i="2"/>
  <c r="Z30" i="2"/>
  <c r="V30" i="2"/>
  <c r="L30" i="2"/>
  <c r="K30" i="2"/>
  <c r="I30" i="2"/>
  <c r="AH29" i="2"/>
  <c r="AG29" i="2"/>
  <c r="AA29" i="2"/>
  <c r="Z29" i="2"/>
  <c r="V29" i="2"/>
  <c r="L29" i="2"/>
  <c r="K29" i="2"/>
  <c r="I29" i="2"/>
  <c r="AH28" i="2"/>
  <c r="AA28" i="2"/>
  <c r="Z28" i="2"/>
  <c r="V28" i="2"/>
  <c r="L28" i="2"/>
  <c r="K28" i="2"/>
  <c r="I28" i="2"/>
  <c r="AH27" i="2"/>
  <c r="AA27" i="2"/>
  <c r="Z27" i="2"/>
  <c r="V27" i="2"/>
  <c r="L27" i="2"/>
  <c r="K27" i="2"/>
  <c r="I27" i="2"/>
  <c r="AH26" i="2"/>
  <c r="AA26" i="2"/>
  <c r="Z26" i="2"/>
  <c r="V26" i="2"/>
  <c r="L26" i="2"/>
  <c r="K26" i="2"/>
  <c r="I26" i="2"/>
  <c r="AH25" i="2"/>
  <c r="AA25" i="2"/>
  <c r="Z25" i="2"/>
  <c r="V25" i="2"/>
  <c r="L25" i="2"/>
  <c r="K25" i="2"/>
  <c r="I25" i="2"/>
  <c r="AH24" i="2"/>
  <c r="AA24" i="2"/>
  <c r="Z24" i="2"/>
  <c r="V24" i="2"/>
  <c r="L24" i="2"/>
  <c r="K24" i="2"/>
  <c r="I24" i="2"/>
  <c r="AH23" i="2"/>
  <c r="AA23" i="2"/>
  <c r="Z23" i="2"/>
  <c r="V23" i="2"/>
  <c r="L23" i="2"/>
  <c r="K23" i="2"/>
  <c r="I23" i="2"/>
  <c r="AH22" i="2"/>
  <c r="AA22" i="2"/>
  <c r="Z22" i="2"/>
  <c r="V22" i="2"/>
  <c r="L22" i="2"/>
  <c r="K22" i="2"/>
  <c r="AC17" i="2"/>
  <c r="AH16" i="2"/>
  <c r="AA16" i="2"/>
  <c r="Z16" i="2"/>
  <c r="Q16" i="2"/>
  <c r="L16" i="2"/>
  <c r="K16" i="2"/>
  <c r="I16" i="2"/>
  <c r="AH15" i="2"/>
  <c r="AA15" i="2"/>
  <c r="Z15" i="2"/>
  <c r="Q15" i="2"/>
  <c r="L15" i="2"/>
  <c r="K15" i="2"/>
  <c r="I15" i="2"/>
  <c r="AH14" i="2"/>
  <c r="AA14" i="2"/>
  <c r="Z14" i="2"/>
  <c r="L14" i="2"/>
  <c r="K14" i="2"/>
  <c r="I14" i="2"/>
  <c r="AH13" i="2"/>
  <c r="AA13" i="2"/>
  <c r="Z13" i="2"/>
  <c r="L13" i="2"/>
  <c r="K13" i="2"/>
  <c r="I13" i="2"/>
  <c r="AH12" i="2"/>
  <c r="AA12" i="2"/>
  <c r="Z12" i="2"/>
  <c r="L12" i="2"/>
  <c r="K12" i="2"/>
  <c r="I12" i="2"/>
  <c r="AH11" i="2"/>
  <c r="AA11" i="2"/>
  <c r="Z11" i="2"/>
  <c r="Q11" i="2"/>
  <c r="L11" i="2"/>
  <c r="K11" i="2"/>
  <c r="I11" i="2"/>
  <c r="AH10" i="2"/>
  <c r="AA10" i="2"/>
  <c r="Z10" i="2"/>
  <c r="L10" i="2"/>
  <c r="K10" i="2"/>
  <c r="I10" i="2"/>
  <c r="AH9" i="2"/>
  <c r="AA9" i="2"/>
  <c r="Z9" i="2"/>
  <c r="L9" i="2"/>
  <c r="K9" i="2"/>
  <c r="I9" i="2"/>
  <c r="AH8" i="2"/>
  <c r="AA8" i="2"/>
  <c r="Z8" i="2"/>
  <c r="L8" i="2"/>
  <c r="K8" i="2"/>
  <c r="AK105" i="1"/>
  <c r="AK104" i="1"/>
  <c r="AK103" i="1"/>
  <c r="AN101" i="1"/>
  <c r="AM101" i="1"/>
  <c r="AE101" i="1"/>
  <c r="AD101" i="1"/>
  <c r="AC101" i="1"/>
  <c r="AA101" i="1"/>
  <c r="Z101" i="1"/>
  <c r="Y101" i="1"/>
  <c r="AO100" i="1"/>
  <c r="AN100" i="1"/>
  <c r="AM100" i="1"/>
  <c r="AE100" i="1"/>
  <c r="AD100" i="1"/>
  <c r="AC100" i="1"/>
  <c r="AA100" i="1"/>
  <c r="AB100" i="1" s="1"/>
  <c r="Z100" i="1"/>
  <c r="Y100" i="1"/>
  <c r="AH100" i="1" s="1"/>
  <c r="W100" i="1"/>
  <c r="X100" i="1" s="1"/>
  <c r="AN99" i="1"/>
  <c r="AM99" i="1"/>
  <c r="AH99" i="1"/>
  <c r="AE99" i="1"/>
  <c r="AD99" i="1"/>
  <c r="AC99" i="1"/>
  <c r="AB99" i="1"/>
  <c r="AO99" i="1" s="1"/>
  <c r="AA99" i="1"/>
  <c r="Z99" i="1"/>
  <c r="Y99" i="1"/>
  <c r="X99" i="1"/>
  <c r="W99" i="1"/>
  <c r="AN98" i="1"/>
  <c r="AM98" i="1"/>
  <c r="AH98" i="1"/>
  <c r="AE98" i="1"/>
  <c r="AD98" i="1"/>
  <c r="AC98" i="1"/>
  <c r="AB98" i="1"/>
  <c r="AO98" i="1" s="1"/>
  <c r="AA98" i="1"/>
  <c r="Z98" i="1"/>
  <c r="Y98" i="1"/>
  <c r="W98" i="1" s="1"/>
  <c r="X98" i="1"/>
  <c r="AN97" i="1"/>
  <c r="AM97" i="1"/>
  <c r="AE97" i="1"/>
  <c r="AD97" i="1"/>
  <c r="AC97" i="1"/>
  <c r="AA97" i="1"/>
  <c r="Z97" i="1"/>
  <c r="Y97" i="1"/>
  <c r="AN96" i="1"/>
  <c r="AM96" i="1"/>
  <c r="AE96" i="1"/>
  <c r="AD96" i="1"/>
  <c r="AC96" i="1"/>
  <c r="AA96" i="1"/>
  <c r="AB96" i="1" s="1"/>
  <c r="AO96" i="1" s="1"/>
  <c r="Z96" i="1"/>
  <c r="Y96" i="1"/>
  <c r="AH96" i="1" s="1"/>
  <c r="W96" i="1"/>
  <c r="X96" i="1" s="1"/>
  <c r="AN95" i="1"/>
  <c r="AM95" i="1"/>
  <c r="AH95" i="1"/>
  <c r="AE95" i="1"/>
  <c r="AD95" i="1"/>
  <c r="AC95" i="1"/>
  <c r="AA95" i="1"/>
  <c r="AB95" i="1" s="1"/>
  <c r="AO95" i="1" s="1"/>
  <c r="Z95" i="1"/>
  <c r="Y95" i="1"/>
  <c r="W95" i="1"/>
  <c r="X95" i="1" s="1"/>
  <c r="AN94" i="1"/>
  <c r="AM94" i="1"/>
  <c r="AE94" i="1"/>
  <c r="AD94" i="1"/>
  <c r="AC94" i="1"/>
  <c r="AA94" i="1"/>
  <c r="Z94" i="1"/>
  <c r="Y94" i="1"/>
  <c r="W94" i="1" s="1"/>
  <c r="X94" i="1" s="1"/>
  <c r="AN93" i="1"/>
  <c r="AM93" i="1"/>
  <c r="AE93" i="1"/>
  <c r="AD93" i="1"/>
  <c r="AC93" i="1"/>
  <c r="AA93" i="1"/>
  <c r="Z93" i="1"/>
  <c r="Y93" i="1"/>
  <c r="AO92" i="1"/>
  <c r="AN92" i="1"/>
  <c r="AM92" i="1"/>
  <c r="AE92" i="1"/>
  <c r="AD92" i="1"/>
  <c r="AC92" i="1"/>
  <c r="AA92" i="1"/>
  <c r="AB92" i="1" s="1"/>
  <c r="Z92" i="1"/>
  <c r="Y92" i="1"/>
  <c r="AH92" i="1" s="1"/>
  <c r="W92" i="1"/>
  <c r="X92" i="1" s="1"/>
  <c r="AN91" i="1"/>
  <c r="AM91" i="1"/>
  <c r="AH91" i="1"/>
  <c r="AE91" i="1"/>
  <c r="AD91" i="1"/>
  <c r="AC91" i="1"/>
  <c r="AB91" i="1"/>
  <c r="AO91" i="1" s="1"/>
  <c r="AA91" i="1"/>
  <c r="Z91" i="1"/>
  <c r="Y91" i="1"/>
  <c r="X91" i="1"/>
  <c r="W91" i="1"/>
  <c r="AN90" i="1"/>
  <c r="AM90" i="1"/>
  <c r="AE90" i="1"/>
  <c r="AD90" i="1"/>
  <c r="AC90" i="1"/>
  <c r="AA90" i="1"/>
  <c r="Z90" i="1"/>
  <c r="Y90" i="1"/>
  <c r="W90" i="1" s="1"/>
  <c r="X90" i="1" s="1"/>
  <c r="AN89" i="1"/>
  <c r="AM89" i="1"/>
  <c r="AE89" i="1"/>
  <c r="AD89" i="1"/>
  <c r="AC89" i="1"/>
  <c r="AA89" i="1"/>
  <c r="Z89" i="1"/>
  <c r="Y89" i="1"/>
  <c r="AN88" i="1"/>
  <c r="AM88" i="1"/>
  <c r="AE88" i="1"/>
  <c r="AD88" i="1"/>
  <c r="AC88" i="1"/>
  <c r="AA88" i="1"/>
  <c r="AB88" i="1" s="1"/>
  <c r="AO88" i="1" s="1"/>
  <c r="Z88" i="1"/>
  <c r="Y88" i="1"/>
  <c r="AH88" i="1" s="1"/>
  <c r="W88" i="1"/>
  <c r="X88" i="1" s="1"/>
  <c r="AN87" i="1"/>
  <c r="AM87" i="1"/>
  <c r="AH87" i="1"/>
  <c r="AE87" i="1"/>
  <c r="AD87" i="1"/>
  <c r="AC87" i="1"/>
  <c r="AA87" i="1"/>
  <c r="AB87" i="1" s="1"/>
  <c r="AO87" i="1" s="1"/>
  <c r="Z87" i="1"/>
  <c r="Y87" i="1"/>
  <c r="W87" i="1"/>
  <c r="X87" i="1" s="1"/>
  <c r="AN86" i="1"/>
  <c r="AM86" i="1"/>
  <c r="AE86" i="1"/>
  <c r="AD86" i="1"/>
  <c r="AC86" i="1"/>
  <c r="AA86" i="1"/>
  <c r="Z86" i="1"/>
  <c r="Y86" i="1"/>
  <c r="W86" i="1" s="1"/>
  <c r="X86" i="1" s="1"/>
  <c r="AN85" i="1"/>
  <c r="AM85" i="1"/>
  <c r="AE85" i="1"/>
  <c r="AD85" i="1"/>
  <c r="AC85" i="1"/>
  <c r="AA85" i="1"/>
  <c r="Z85" i="1"/>
  <c r="Y85" i="1"/>
  <c r="AO84" i="1"/>
  <c r="AN84" i="1"/>
  <c r="AM84" i="1"/>
  <c r="AE84" i="1"/>
  <c r="AD84" i="1"/>
  <c r="AC84" i="1"/>
  <c r="AA84" i="1"/>
  <c r="AB84" i="1" s="1"/>
  <c r="Z84" i="1"/>
  <c r="Y84" i="1"/>
  <c r="AH84" i="1" s="1"/>
  <c r="W84" i="1"/>
  <c r="X84" i="1" s="1"/>
  <c r="AN83" i="1"/>
  <c r="AM83" i="1"/>
  <c r="AH83" i="1"/>
  <c r="AE83" i="1"/>
  <c r="AD83" i="1"/>
  <c r="AC83" i="1"/>
  <c r="AB83" i="1"/>
  <c r="AO83" i="1" s="1"/>
  <c r="AA83" i="1"/>
  <c r="Z83" i="1"/>
  <c r="Y83" i="1"/>
  <c r="X83" i="1"/>
  <c r="W83" i="1"/>
  <c r="AN82" i="1"/>
  <c r="AM82" i="1"/>
  <c r="AE82" i="1"/>
  <c r="AD82" i="1"/>
  <c r="AC82" i="1"/>
  <c r="AA82" i="1"/>
  <c r="Z82" i="1"/>
  <c r="Y82" i="1"/>
  <c r="AN81" i="1"/>
  <c r="AM81" i="1"/>
  <c r="AE81" i="1"/>
  <c r="AD81" i="1"/>
  <c r="AC81" i="1"/>
  <c r="AA81" i="1"/>
  <c r="Z81" i="1"/>
  <c r="Y81" i="1"/>
  <c r="AN80" i="1"/>
  <c r="AM80" i="1"/>
  <c r="AE80" i="1"/>
  <c r="AD80" i="1"/>
  <c r="AC80" i="1"/>
  <c r="AA80" i="1"/>
  <c r="AB80" i="1" s="1"/>
  <c r="AO80" i="1" s="1"/>
  <c r="Z80" i="1"/>
  <c r="Y80" i="1"/>
  <c r="AH80" i="1" s="1"/>
  <c r="W80" i="1"/>
  <c r="X80" i="1" s="1"/>
  <c r="AN79" i="1"/>
  <c r="AM79" i="1"/>
  <c r="AH79" i="1"/>
  <c r="AE79" i="1"/>
  <c r="AD79" i="1"/>
  <c r="AC79" i="1"/>
  <c r="AB79" i="1"/>
  <c r="AO79" i="1" s="1"/>
  <c r="AA79" i="1"/>
  <c r="Z79" i="1"/>
  <c r="Y79" i="1"/>
  <c r="X79" i="1"/>
  <c r="W79" i="1"/>
  <c r="AN78" i="1"/>
  <c r="AM78" i="1"/>
  <c r="AH78" i="1"/>
  <c r="AE78" i="1"/>
  <c r="AD78" i="1"/>
  <c r="AC78" i="1"/>
  <c r="AB78" i="1"/>
  <c r="AO78" i="1" s="1"/>
  <c r="AA78" i="1"/>
  <c r="Z78" i="1"/>
  <c r="Y78" i="1"/>
  <c r="W78" i="1" s="1"/>
  <c r="X78" i="1"/>
  <c r="AN77" i="1"/>
  <c r="AM77" i="1"/>
  <c r="AE77" i="1"/>
  <c r="AD77" i="1"/>
  <c r="AC77" i="1"/>
  <c r="AA77" i="1"/>
  <c r="Z77" i="1"/>
  <c r="Y77" i="1"/>
  <c r="W77" i="1" s="1"/>
  <c r="X77" i="1" s="1"/>
  <c r="AN76" i="1"/>
  <c r="AM76" i="1"/>
  <c r="AE76" i="1"/>
  <c r="AD76" i="1"/>
  <c r="AC76" i="1"/>
  <c r="AA76" i="1"/>
  <c r="AB76" i="1" s="1"/>
  <c r="AO76" i="1" s="1"/>
  <c r="Z76" i="1"/>
  <c r="Y76" i="1"/>
  <c r="AH76" i="1" s="1"/>
  <c r="AO75" i="1"/>
  <c r="AN75" i="1"/>
  <c r="AM75" i="1"/>
  <c r="AH75" i="1"/>
  <c r="AE75" i="1"/>
  <c r="AD75" i="1"/>
  <c r="AC75" i="1"/>
  <c r="AA75" i="1"/>
  <c r="AB75" i="1" s="1"/>
  <c r="Z75" i="1"/>
  <c r="Y75" i="1"/>
  <c r="W75" i="1"/>
  <c r="X75" i="1" s="1"/>
  <c r="AN74" i="1"/>
  <c r="AM74" i="1"/>
  <c r="AH74" i="1"/>
  <c r="AE74" i="1"/>
  <c r="AD74" i="1"/>
  <c r="AC74" i="1"/>
  <c r="AB74" i="1"/>
  <c r="AO74" i="1" s="1"/>
  <c r="AA74" i="1"/>
  <c r="Z74" i="1"/>
  <c r="Y74" i="1"/>
  <c r="X74" i="1"/>
  <c r="W74" i="1"/>
  <c r="AN73" i="1"/>
  <c r="AM73" i="1"/>
  <c r="AH73" i="1"/>
  <c r="AE73" i="1"/>
  <c r="AD73" i="1"/>
  <c r="AC73" i="1"/>
  <c r="AB73" i="1"/>
  <c r="AO73" i="1" s="1"/>
  <c r="AA73" i="1"/>
  <c r="Z73" i="1"/>
  <c r="Y73" i="1"/>
  <c r="W73" i="1" s="1"/>
  <c r="X73" i="1"/>
  <c r="AN72" i="1"/>
  <c r="AM72" i="1"/>
  <c r="AE72" i="1"/>
  <c r="AD72" i="1"/>
  <c r="AC72" i="1"/>
  <c r="AA72" i="1"/>
  <c r="Z72" i="1"/>
  <c r="Y72" i="1"/>
  <c r="AN71" i="1"/>
  <c r="AM71" i="1"/>
  <c r="AE71" i="1"/>
  <c r="AD71" i="1"/>
  <c r="AC71" i="1"/>
  <c r="AA71" i="1"/>
  <c r="Z71" i="1"/>
  <c r="Y71" i="1"/>
  <c r="AO70" i="1"/>
  <c r="AN70" i="1"/>
  <c r="AM70" i="1"/>
  <c r="AE70" i="1"/>
  <c r="AD70" i="1"/>
  <c r="AC70" i="1"/>
  <c r="AA70" i="1"/>
  <c r="AB70" i="1" s="1"/>
  <c r="Z70" i="1"/>
  <c r="Y70" i="1"/>
  <c r="AH70" i="1" s="1"/>
  <c r="W70" i="1"/>
  <c r="X70" i="1" s="1"/>
  <c r="AN69" i="1"/>
  <c r="AM69" i="1"/>
  <c r="AH69" i="1"/>
  <c r="AE69" i="1"/>
  <c r="AD69" i="1"/>
  <c r="AC69" i="1"/>
  <c r="AA69" i="1"/>
  <c r="AB69" i="1" s="1"/>
  <c r="AO69" i="1" s="1"/>
  <c r="Z69" i="1"/>
  <c r="Y69" i="1"/>
  <c r="W69" i="1"/>
  <c r="X69" i="1" s="1"/>
  <c r="AN68" i="1"/>
  <c r="AM68" i="1"/>
  <c r="AE68" i="1"/>
  <c r="AD68" i="1"/>
  <c r="AC68" i="1"/>
  <c r="AA68" i="1"/>
  <c r="Z68" i="1"/>
  <c r="Y68" i="1"/>
  <c r="W68" i="1" s="1"/>
  <c r="X68" i="1" s="1"/>
  <c r="AN67" i="1"/>
  <c r="AM67" i="1"/>
  <c r="AE67" i="1"/>
  <c r="AD67" i="1"/>
  <c r="AC67" i="1"/>
  <c r="AA67" i="1"/>
  <c r="Z67" i="1"/>
  <c r="Y67" i="1"/>
  <c r="AN66" i="1"/>
  <c r="AM66" i="1"/>
  <c r="AE66" i="1"/>
  <c r="AD66" i="1"/>
  <c r="AC66" i="1"/>
  <c r="AA66" i="1"/>
  <c r="AB66" i="1" s="1"/>
  <c r="AO66" i="1" s="1"/>
  <c r="Z66" i="1"/>
  <c r="Y66" i="1"/>
  <c r="AH66" i="1" s="1"/>
  <c r="W66" i="1"/>
  <c r="X66" i="1" s="1"/>
  <c r="AN65" i="1"/>
  <c r="AM65" i="1"/>
  <c r="AH65" i="1"/>
  <c r="AE65" i="1"/>
  <c r="AD65" i="1"/>
  <c r="AC65" i="1"/>
  <c r="AA65" i="1"/>
  <c r="AB65" i="1" s="1"/>
  <c r="AO65" i="1" s="1"/>
  <c r="Z65" i="1"/>
  <c r="Y65" i="1"/>
  <c r="W65" i="1"/>
  <c r="X65" i="1" s="1"/>
  <c r="AN64" i="1"/>
  <c r="AM64" i="1"/>
  <c r="AE64" i="1"/>
  <c r="AD64" i="1"/>
  <c r="AC64" i="1"/>
  <c r="AA64" i="1"/>
  <c r="Z64" i="1"/>
  <c r="Y64" i="1"/>
  <c r="W64" i="1" s="1"/>
  <c r="X64" i="1" s="1"/>
  <c r="AN63" i="1"/>
  <c r="AM63" i="1"/>
  <c r="AE63" i="1"/>
  <c r="AD63" i="1"/>
  <c r="AC63" i="1"/>
  <c r="AA63" i="1"/>
  <c r="Z63" i="1"/>
  <c r="Y63" i="1"/>
  <c r="AO62" i="1"/>
  <c r="AN62" i="1"/>
  <c r="AM62" i="1"/>
  <c r="AE62" i="1"/>
  <c r="AD62" i="1"/>
  <c r="AC62" i="1"/>
  <c r="AA62" i="1"/>
  <c r="AB62" i="1" s="1"/>
  <c r="Z62" i="1"/>
  <c r="Y62" i="1"/>
  <c r="AH62" i="1" s="1"/>
  <c r="W62" i="1"/>
  <c r="X62" i="1" s="1"/>
  <c r="AN61" i="1"/>
  <c r="AM61" i="1"/>
  <c r="AH61" i="1"/>
  <c r="AE61" i="1"/>
  <c r="AD61" i="1"/>
  <c r="AC61" i="1"/>
  <c r="AB61" i="1"/>
  <c r="AO61" i="1" s="1"/>
  <c r="AA61" i="1"/>
  <c r="Z61" i="1"/>
  <c r="Y61" i="1"/>
  <c r="X61" i="1"/>
  <c r="W61" i="1"/>
  <c r="AN60" i="1"/>
  <c r="AM60" i="1"/>
  <c r="AE60" i="1"/>
  <c r="AD60" i="1"/>
  <c r="AC60" i="1"/>
  <c r="AA60" i="1"/>
  <c r="Z60" i="1"/>
  <c r="Y60" i="1"/>
  <c r="W60" i="1" s="1"/>
  <c r="X60" i="1" s="1"/>
  <c r="AN59" i="1"/>
  <c r="AM59" i="1"/>
  <c r="AE59" i="1"/>
  <c r="AD59" i="1"/>
  <c r="AC59" i="1"/>
  <c r="AA59" i="1"/>
  <c r="Z59" i="1"/>
  <c r="Y59" i="1"/>
  <c r="AN58" i="1"/>
  <c r="AM58" i="1"/>
  <c r="AE58" i="1"/>
  <c r="AD58" i="1"/>
  <c r="AC58" i="1"/>
  <c r="AA58" i="1"/>
  <c r="AB58" i="1" s="1"/>
  <c r="AO58" i="1" s="1"/>
  <c r="Z58" i="1"/>
  <c r="Y58" i="1"/>
  <c r="AH58" i="1" s="1"/>
  <c r="W58" i="1"/>
  <c r="X58" i="1" s="1"/>
  <c r="AN57" i="1"/>
  <c r="AM57" i="1"/>
  <c r="AH57" i="1"/>
  <c r="AE57" i="1"/>
  <c r="AD57" i="1"/>
  <c r="AC57" i="1"/>
  <c r="AA57" i="1"/>
  <c r="AB57" i="1" s="1"/>
  <c r="AO57" i="1" s="1"/>
  <c r="Z57" i="1"/>
  <c r="Y57" i="1"/>
  <c r="W57" i="1"/>
  <c r="X57" i="1" s="1"/>
  <c r="AN56" i="1"/>
  <c r="AM56" i="1"/>
  <c r="AE56" i="1"/>
  <c r="AD56" i="1"/>
  <c r="AC56" i="1"/>
  <c r="AA56" i="1"/>
  <c r="Z56" i="1"/>
  <c r="Y56" i="1"/>
  <c r="W56" i="1" s="1"/>
  <c r="X56" i="1" s="1"/>
  <c r="AN55" i="1"/>
  <c r="AM55" i="1"/>
  <c r="AE55" i="1"/>
  <c r="AD55" i="1"/>
  <c r="AC55" i="1"/>
  <c r="AA55" i="1"/>
  <c r="Z55" i="1"/>
  <c r="Y55" i="1"/>
  <c r="AO54" i="1"/>
  <c r="AN54" i="1"/>
  <c r="AM54" i="1"/>
  <c r="AE54" i="1"/>
  <c r="AD54" i="1"/>
  <c r="AC54" i="1"/>
  <c r="AA54" i="1"/>
  <c r="AB54" i="1" s="1"/>
  <c r="Z54" i="1"/>
  <c r="Y54" i="1"/>
  <c r="AH54" i="1" s="1"/>
  <c r="W54" i="1"/>
  <c r="X54" i="1" s="1"/>
  <c r="AN53" i="1"/>
  <c r="AM53" i="1"/>
  <c r="AH53" i="1"/>
  <c r="AE53" i="1"/>
  <c r="AD53" i="1"/>
  <c r="AC53" i="1"/>
  <c r="AB53" i="1"/>
  <c r="AO53" i="1" s="1"/>
  <c r="AA53" i="1"/>
  <c r="Z53" i="1"/>
  <c r="Y53" i="1"/>
  <c r="X53" i="1"/>
  <c r="W53" i="1"/>
  <c r="AN52" i="1"/>
  <c r="AM52" i="1"/>
  <c r="AE52" i="1"/>
  <c r="AD52" i="1"/>
  <c r="AC52" i="1"/>
  <c r="AA52" i="1"/>
  <c r="Z52" i="1"/>
  <c r="Y52" i="1"/>
  <c r="W52" i="1" s="1"/>
  <c r="X52" i="1" s="1"/>
  <c r="AN51" i="1"/>
  <c r="AM51" i="1"/>
  <c r="AE51" i="1"/>
  <c r="AD51" i="1"/>
  <c r="AC51" i="1"/>
  <c r="AA51" i="1"/>
  <c r="Z51" i="1"/>
  <c r="Y51" i="1"/>
  <c r="AN50" i="1"/>
  <c r="AM50" i="1"/>
  <c r="AE50" i="1"/>
  <c r="AD50" i="1"/>
  <c r="AC50" i="1"/>
  <c r="AA50" i="1"/>
  <c r="AB50" i="1" s="1"/>
  <c r="AO50" i="1" s="1"/>
  <c r="Z50" i="1"/>
  <c r="Y50" i="1"/>
  <c r="AH50" i="1" s="1"/>
  <c r="W50" i="1"/>
  <c r="X50" i="1" s="1"/>
  <c r="AN49" i="1"/>
  <c r="AM49" i="1"/>
  <c r="AH49" i="1"/>
  <c r="AE49" i="1"/>
  <c r="AD49" i="1"/>
  <c r="AC49" i="1"/>
  <c r="AA49" i="1"/>
  <c r="AB49" i="1" s="1"/>
  <c r="AO49" i="1" s="1"/>
  <c r="Z49" i="1"/>
  <c r="Y49" i="1"/>
  <c r="W49" i="1"/>
  <c r="X49" i="1" s="1"/>
  <c r="AN48" i="1"/>
  <c r="AM48" i="1"/>
  <c r="AE48" i="1"/>
  <c r="AD48" i="1"/>
  <c r="AC48" i="1"/>
  <c r="AA48" i="1"/>
  <c r="Z48" i="1"/>
  <c r="Y48" i="1"/>
  <c r="W48" i="1" s="1"/>
  <c r="X48" i="1" s="1"/>
  <c r="AN47" i="1"/>
  <c r="AM47" i="1"/>
  <c r="AE47" i="1"/>
  <c r="AD47" i="1"/>
  <c r="AC47" i="1"/>
  <c r="AA47" i="1"/>
  <c r="Z47" i="1"/>
  <c r="Y47" i="1"/>
  <c r="AO46" i="1"/>
  <c r="AN46" i="1"/>
  <c r="AM46" i="1"/>
  <c r="AE46" i="1"/>
  <c r="AD46" i="1"/>
  <c r="AC46" i="1"/>
  <c r="AA46" i="1"/>
  <c r="AB46" i="1" s="1"/>
  <c r="Z46" i="1"/>
  <c r="Y46" i="1"/>
  <c r="AH46" i="1" s="1"/>
  <c r="W46" i="1"/>
  <c r="X46" i="1" s="1"/>
  <c r="AN45" i="1"/>
  <c r="AM45" i="1"/>
  <c r="AH45" i="1"/>
  <c r="AE45" i="1"/>
  <c r="AD45" i="1"/>
  <c r="AC45" i="1"/>
  <c r="AB45" i="1"/>
  <c r="AO45" i="1" s="1"/>
  <c r="AA45" i="1"/>
  <c r="Z45" i="1"/>
  <c r="Y45" i="1"/>
  <c r="X45" i="1"/>
  <c r="W45" i="1"/>
  <c r="AN44" i="1"/>
  <c r="AM44" i="1"/>
  <c r="AE44" i="1"/>
  <c r="AD44" i="1"/>
  <c r="AC44" i="1"/>
  <c r="AA44" i="1"/>
  <c r="Z44" i="1"/>
  <c r="Y44" i="1"/>
  <c r="W44" i="1" s="1"/>
  <c r="X44" i="1" s="1"/>
  <c r="AN43" i="1"/>
  <c r="AM43" i="1"/>
  <c r="AE43" i="1"/>
  <c r="AD43" i="1"/>
  <c r="AC43" i="1"/>
  <c r="AA43" i="1"/>
  <c r="Z43" i="1"/>
  <c r="Y43" i="1"/>
  <c r="AN42" i="1"/>
  <c r="AM42" i="1"/>
  <c r="AE42" i="1"/>
  <c r="AD42" i="1"/>
  <c r="AC42" i="1"/>
  <c r="AA42" i="1"/>
  <c r="AB42" i="1" s="1"/>
  <c r="AO42" i="1" s="1"/>
  <c r="Z42" i="1"/>
  <c r="Y42" i="1"/>
  <c r="AH42" i="1" s="1"/>
  <c r="W42" i="1"/>
  <c r="X42" i="1" s="1"/>
  <c r="AN41" i="1"/>
  <c r="AM41" i="1"/>
  <c r="AH41" i="1"/>
  <c r="AE41" i="1"/>
  <c r="AD41" i="1"/>
  <c r="AC41" i="1"/>
  <c r="AA41" i="1"/>
  <c r="AB41" i="1" s="1"/>
  <c r="AO41" i="1" s="1"/>
  <c r="Z41" i="1"/>
  <c r="Y41" i="1"/>
  <c r="W41" i="1"/>
  <c r="X41" i="1" s="1"/>
  <c r="AN40" i="1"/>
  <c r="AM40" i="1"/>
  <c r="AE40" i="1"/>
  <c r="AD40" i="1"/>
  <c r="AC40" i="1"/>
  <c r="AA40" i="1"/>
  <c r="Z40" i="1"/>
  <c r="Y40" i="1"/>
  <c r="W40" i="1" s="1"/>
  <c r="X40" i="1" s="1"/>
  <c r="AN39" i="1"/>
  <c r="AM39" i="1"/>
  <c r="AE39" i="1"/>
  <c r="AD39" i="1"/>
  <c r="AC39" i="1"/>
  <c r="AA39" i="1"/>
  <c r="Z39" i="1"/>
  <c r="Y39" i="1"/>
  <c r="AO38" i="1"/>
  <c r="AN38" i="1"/>
  <c r="AM38" i="1"/>
  <c r="AE38" i="1"/>
  <c r="AD38" i="1"/>
  <c r="AC38" i="1"/>
  <c r="AA38" i="1"/>
  <c r="AB38" i="1" s="1"/>
  <c r="Z38" i="1"/>
  <c r="Y38" i="1"/>
  <c r="AH38" i="1" s="1"/>
  <c r="W38" i="1"/>
  <c r="X38" i="1" s="1"/>
  <c r="AN37" i="1"/>
  <c r="AM37" i="1"/>
  <c r="AH37" i="1"/>
  <c r="AE37" i="1"/>
  <c r="AD37" i="1"/>
  <c r="AC37" i="1"/>
  <c r="AB37" i="1"/>
  <c r="AO37" i="1" s="1"/>
  <c r="AA37" i="1"/>
  <c r="Z37" i="1"/>
  <c r="Y37" i="1"/>
  <c r="X37" i="1"/>
  <c r="W37" i="1"/>
  <c r="AN36" i="1"/>
  <c r="AM36" i="1"/>
  <c r="AE36" i="1"/>
  <c r="AD36" i="1"/>
  <c r="AC36" i="1"/>
  <c r="AA36" i="1"/>
  <c r="Z36" i="1"/>
  <c r="Y36" i="1"/>
  <c r="W36" i="1" s="1"/>
  <c r="X36" i="1" s="1"/>
  <c r="AN35" i="1"/>
  <c r="AM35" i="1"/>
  <c r="AE35" i="1"/>
  <c r="AD35" i="1"/>
  <c r="AC35" i="1"/>
  <c r="AA35" i="1"/>
  <c r="Z35" i="1"/>
  <c r="Y35" i="1"/>
  <c r="AN34" i="1"/>
  <c r="AM34" i="1"/>
  <c r="AE34" i="1"/>
  <c r="AD34" i="1"/>
  <c r="AC34" i="1"/>
  <c r="AA34" i="1"/>
  <c r="AB34" i="1" s="1"/>
  <c r="AO34" i="1" s="1"/>
  <c r="Z34" i="1"/>
  <c r="Y34" i="1"/>
  <c r="AH34" i="1" s="1"/>
  <c r="W34" i="1"/>
  <c r="X34" i="1" s="1"/>
  <c r="AN33" i="1"/>
  <c r="AM33" i="1"/>
  <c r="AH33" i="1"/>
  <c r="AE33" i="1"/>
  <c r="AD33" i="1"/>
  <c r="AC33" i="1"/>
  <c r="AB33" i="1"/>
  <c r="AO33" i="1" s="1"/>
  <c r="AA33" i="1"/>
  <c r="Z33" i="1"/>
  <c r="Y33" i="1"/>
  <c r="X33" i="1"/>
  <c r="W33" i="1"/>
  <c r="AN32" i="1"/>
  <c r="AM32" i="1"/>
  <c r="AE32" i="1"/>
  <c r="AD32" i="1"/>
  <c r="AC32" i="1"/>
  <c r="AA32" i="1"/>
  <c r="Z32" i="1"/>
  <c r="Y32" i="1"/>
  <c r="AH32" i="1" s="1"/>
  <c r="AN31" i="1"/>
  <c r="AM31" i="1"/>
  <c r="AE31" i="1"/>
  <c r="AD31" i="1"/>
  <c r="AC31" i="1"/>
  <c r="AA31" i="1"/>
  <c r="Z31" i="1"/>
  <c r="Y31" i="1"/>
  <c r="W31" i="1" s="1"/>
  <c r="X31" i="1" s="1"/>
  <c r="AN30" i="1"/>
  <c r="AM30" i="1"/>
  <c r="AE30" i="1"/>
  <c r="AD30" i="1"/>
  <c r="AC30" i="1"/>
  <c r="AA30" i="1"/>
  <c r="AB30" i="1" s="1"/>
  <c r="AO30" i="1" s="1"/>
  <c r="Z30" i="1"/>
  <c r="Y30" i="1"/>
  <c r="AH30" i="1" s="1"/>
  <c r="AN29" i="1"/>
  <c r="AM29" i="1"/>
  <c r="AH29" i="1"/>
  <c r="AE29" i="1"/>
  <c r="AD29" i="1"/>
  <c r="AC29" i="1"/>
  <c r="AA29" i="1"/>
  <c r="AB29" i="1" s="1"/>
  <c r="AO29" i="1" s="1"/>
  <c r="Z29" i="1"/>
  <c r="Y29" i="1"/>
  <c r="W29" i="1"/>
  <c r="X29" i="1" s="1"/>
  <c r="AN28" i="1"/>
  <c r="AM28" i="1"/>
  <c r="AH28" i="1"/>
  <c r="AE28" i="1"/>
  <c r="AD28" i="1"/>
  <c r="AC28" i="1"/>
  <c r="AB28" i="1"/>
  <c r="AO28" i="1" s="1"/>
  <c r="AA28" i="1"/>
  <c r="Z28" i="1"/>
  <c r="Y28" i="1"/>
  <c r="X28" i="1"/>
  <c r="W28" i="1"/>
  <c r="AN27" i="1"/>
  <c r="AM27" i="1"/>
  <c r="AH27" i="1"/>
  <c r="AE27" i="1"/>
  <c r="AD27" i="1"/>
  <c r="AC27" i="1"/>
  <c r="AB27" i="1"/>
  <c r="AO27" i="1" s="1"/>
  <c r="AA27" i="1"/>
  <c r="Z27" i="1"/>
  <c r="Y27" i="1"/>
  <c r="W27" i="1" s="1"/>
  <c r="X27" i="1"/>
  <c r="AN26" i="1"/>
  <c r="AM26" i="1"/>
  <c r="AE26" i="1"/>
  <c r="AD26" i="1"/>
  <c r="AC26" i="1"/>
  <c r="AA26" i="1"/>
  <c r="Z26" i="1"/>
  <c r="Y26" i="1"/>
  <c r="AH26" i="1" s="1"/>
  <c r="AN25" i="1"/>
  <c r="AM25" i="1"/>
  <c r="AH25" i="1"/>
  <c r="AE25" i="1"/>
  <c r="AD25" i="1"/>
  <c r="AC25" i="1"/>
  <c r="AB25" i="1"/>
  <c r="AO25" i="1" s="1"/>
  <c r="AA25" i="1"/>
  <c r="Z25" i="1"/>
  <c r="Y25" i="1"/>
  <c r="X25" i="1"/>
  <c r="W25" i="1"/>
  <c r="AN24" i="1"/>
  <c r="AM24" i="1"/>
  <c r="AE24" i="1"/>
  <c r="AD24" i="1"/>
  <c r="AC24" i="1"/>
  <c r="AA24" i="1"/>
  <c r="AB24" i="1" s="1"/>
  <c r="AO24" i="1" s="1"/>
  <c r="Z24" i="1"/>
  <c r="Y24" i="1"/>
  <c r="AH24" i="1" s="1"/>
  <c r="W24" i="1"/>
  <c r="X24" i="1" s="1"/>
  <c r="AN23" i="1"/>
  <c r="AM23" i="1"/>
  <c r="AE23" i="1"/>
  <c r="AD23" i="1"/>
  <c r="AC23" i="1"/>
  <c r="AA23" i="1"/>
  <c r="Z23" i="1"/>
  <c r="Y23" i="1"/>
  <c r="W23" i="1" s="1"/>
  <c r="X23" i="1" s="1"/>
  <c r="AN22" i="1"/>
  <c r="AM22" i="1"/>
  <c r="AE22" i="1"/>
  <c r="AD22" i="1"/>
  <c r="AC22" i="1"/>
  <c r="AA22" i="1"/>
  <c r="Z22" i="1"/>
  <c r="Y22" i="1"/>
  <c r="AH22" i="1" s="1"/>
  <c r="AN21" i="1"/>
  <c r="AM21" i="1"/>
  <c r="AH21" i="1"/>
  <c r="AE21" i="1"/>
  <c r="AD21" i="1"/>
  <c r="AC21" i="1"/>
  <c r="AB21" i="1"/>
  <c r="AO21" i="1" s="1"/>
  <c r="AA21" i="1"/>
  <c r="Z21" i="1"/>
  <c r="Y21" i="1"/>
  <c r="X21" i="1"/>
  <c r="W21" i="1"/>
  <c r="AN20" i="1"/>
  <c r="AM20" i="1"/>
  <c r="AE20" i="1"/>
  <c r="AD20" i="1"/>
  <c r="AC20" i="1"/>
  <c r="AA20" i="1"/>
  <c r="Z20" i="1"/>
  <c r="Y20" i="1"/>
  <c r="AH20" i="1" s="1"/>
  <c r="AN19" i="1"/>
  <c r="AM19" i="1"/>
  <c r="AE19" i="1"/>
  <c r="AD19" i="1"/>
  <c r="AC19" i="1"/>
  <c r="AA19" i="1"/>
  <c r="Z19" i="1"/>
  <c r="Y19" i="1"/>
  <c r="W19" i="1" s="1"/>
  <c r="X19" i="1" s="1"/>
  <c r="AN18" i="1"/>
  <c r="AM18" i="1"/>
  <c r="AE18" i="1"/>
  <c r="AD18" i="1"/>
  <c r="AC18" i="1"/>
  <c r="AA18" i="1"/>
  <c r="AB18" i="1" s="1"/>
  <c r="AO18" i="1" s="1"/>
  <c r="Z18" i="1"/>
  <c r="Y18" i="1"/>
  <c r="AH18" i="1" s="1"/>
  <c r="W18" i="1"/>
  <c r="X18" i="1" s="1"/>
  <c r="AN17" i="1"/>
  <c r="AM17" i="1"/>
  <c r="AH17" i="1"/>
  <c r="AE17" i="1"/>
  <c r="AD17" i="1"/>
  <c r="AC17" i="1"/>
  <c r="AB17" i="1"/>
  <c r="AO17" i="1" s="1"/>
  <c r="AA17" i="1"/>
  <c r="Z17" i="1"/>
  <c r="Y17" i="1"/>
  <c r="X17" i="1"/>
  <c r="W17" i="1"/>
  <c r="AN16" i="1"/>
  <c r="AM16" i="1"/>
  <c r="AE16" i="1"/>
  <c r="AD16" i="1"/>
  <c r="AC16" i="1"/>
  <c r="AA16" i="1"/>
  <c r="Z16" i="1"/>
  <c r="Y16" i="1"/>
  <c r="AH16" i="1" s="1"/>
  <c r="AN15" i="1"/>
  <c r="AM15" i="1"/>
  <c r="AE15" i="1"/>
  <c r="AD15" i="1"/>
  <c r="AC15" i="1"/>
  <c r="AC2" i="1" s="1"/>
  <c r="AA15" i="1"/>
  <c r="Z15" i="1"/>
  <c r="Y15" i="1"/>
  <c r="W15" i="1" s="1"/>
  <c r="X15" i="1" s="1"/>
  <c r="AN14" i="1"/>
  <c r="AM14" i="1"/>
  <c r="AE14" i="1"/>
  <c r="AD14" i="1"/>
  <c r="AC14" i="1"/>
  <c r="AA14" i="1"/>
  <c r="AB14" i="1" s="1"/>
  <c r="AO14" i="1" s="1"/>
  <c r="Z14" i="1"/>
  <c r="Y14" i="1"/>
  <c r="AH14" i="1" s="1"/>
  <c r="AN13" i="1"/>
  <c r="AM13" i="1"/>
  <c r="AH13" i="1"/>
  <c r="AE13" i="1"/>
  <c r="AD13" i="1"/>
  <c r="AC13" i="1"/>
  <c r="AA13" i="1"/>
  <c r="AB13" i="1" s="1"/>
  <c r="AO13" i="1" s="1"/>
  <c r="Z13" i="1"/>
  <c r="Y13" i="1"/>
  <c r="W13" i="1"/>
  <c r="X13" i="1" s="1"/>
  <c r="AN12" i="1"/>
  <c r="AM12" i="1"/>
  <c r="AH12" i="1"/>
  <c r="AE12" i="1"/>
  <c r="AD12" i="1"/>
  <c r="AC12" i="1"/>
  <c r="AB12" i="1"/>
  <c r="AO12" i="1" s="1"/>
  <c r="AA12" i="1"/>
  <c r="Z12" i="1"/>
  <c r="Y12" i="1"/>
  <c r="X12" i="1"/>
  <c r="W12" i="1"/>
  <c r="AN11" i="1"/>
  <c r="AM11" i="1"/>
  <c r="AH11" i="1"/>
  <c r="AE11" i="1"/>
  <c r="AD11" i="1"/>
  <c r="AC11" i="1"/>
  <c r="AB11" i="1"/>
  <c r="AO11" i="1" s="1"/>
  <c r="AA11" i="1"/>
  <c r="Z11" i="1"/>
  <c r="Y11" i="1"/>
  <c r="W11" i="1" s="1"/>
  <c r="X11" i="1"/>
  <c r="AN10" i="1"/>
  <c r="AM10" i="1"/>
  <c r="AE10" i="1"/>
  <c r="AD10" i="1"/>
  <c r="AC10" i="1"/>
  <c r="AA10" i="1"/>
  <c r="Z10" i="1"/>
  <c r="Y10" i="1"/>
  <c r="AH10" i="1" s="1"/>
  <c r="AN9" i="1"/>
  <c r="AM9" i="1"/>
  <c r="AH9" i="1"/>
  <c r="AE9" i="1"/>
  <c r="AD9" i="1"/>
  <c r="AC9" i="1"/>
  <c r="AB9" i="1"/>
  <c r="AO9" i="1" s="1"/>
  <c r="AA9" i="1"/>
  <c r="Z9" i="1"/>
  <c r="Y9" i="1"/>
  <c r="X9" i="1"/>
  <c r="W9" i="1"/>
  <c r="AN8" i="1"/>
  <c r="AM8" i="1"/>
  <c r="AE8" i="1"/>
  <c r="AE2" i="1" s="1"/>
  <c r="AD8" i="1"/>
  <c r="AC8" i="1"/>
  <c r="AA8" i="1"/>
  <c r="AB8" i="1" s="1"/>
  <c r="AO8" i="1" s="1"/>
  <c r="Z8" i="1"/>
  <c r="Y8" i="1"/>
  <c r="AH8" i="1" s="1"/>
  <c r="W8" i="1"/>
  <c r="X8" i="1" s="1"/>
  <c r="AN7" i="1"/>
  <c r="AM7" i="1"/>
  <c r="AE7" i="1"/>
  <c r="AD7" i="1"/>
  <c r="AC7" i="1"/>
  <c r="AA7" i="1"/>
  <c r="Z7" i="1"/>
  <c r="Y7" i="1"/>
  <c r="W7" i="1" s="1"/>
  <c r="X7" i="1" s="1"/>
  <c r="AN6" i="1"/>
  <c r="AM6" i="1"/>
  <c r="AE6" i="1"/>
  <c r="AD6" i="1"/>
  <c r="AC6" i="1"/>
  <c r="AA6" i="1"/>
  <c r="Z6" i="1"/>
  <c r="Y6" i="1"/>
  <c r="AH6" i="1" s="1"/>
  <c r="AN5" i="1"/>
  <c r="AM5" i="1"/>
  <c r="AH5" i="1"/>
  <c r="AE5" i="1"/>
  <c r="AD5" i="1"/>
  <c r="AC5" i="1"/>
  <c r="AB5" i="1"/>
  <c r="AO5" i="1" s="1"/>
  <c r="AA5" i="1"/>
  <c r="Z5" i="1"/>
  <c r="Y5" i="1"/>
  <c r="X5" i="1"/>
  <c r="W5" i="1"/>
  <c r="AN4" i="1"/>
  <c r="AM4" i="1"/>
  <c r="AE4" i="1"/>
  <c r="AD4" i="1"/>
  <c r="AC4" i="1"/>
  <c r="AA4" i="1"/>
  <c r="Z4" i="1"/>
  <c r="Y4" i="1"/>
  <c r="AH4" i="1" s="1"/>
  <c r="AN3" i="1"/>
  <c r="AM3" i="1"/>
  <c r="AM2" i="1" s="1"/>
  <c r="AE3" i="1"/>
  <c r="AD3" i="1"/>
  <c r="AC3" i="1"/>
  <c r="AA3" i="1"/>
  <c r="Z3" i="1"/>
  <c r="Y3" i="1"/>
  <c r="W3" i="1" s="1"/>
  <c r="X3" i="1" s="1"/>
  <c r="AL2" i="1"/>
  <c r="AK2" i="1"/>
  <c r="AJ2" i="1"/>
  <c r="AI2" i="1"/>
  <c r="AG2" i="1"/>
  <c r="AF2" i="1"/>
  <c r="AD2" i="1"/>
  <c r="F16" i="4"/>
  <c r="F18" i="4"/>
  <c r="D9" i="4" l="1"/>
  <c r="D8" i="4"/>
  <c r="W4" i="1"/>
  <c r="X4" i="1" s="1"/>
  <c r="AB7" i="1"/>
  <c r="AO7" i="1" s="1"/>
  <c r="AH7" i="1"/>
  <c r="AB10" i="1"/>
  <c r="AO10" i="1" s="1"/>
  <c r="W14" i="1"/>
  <c r="X14" i="1" s="1"/>
  <c r="W20" i="1"/>
  <c r="X20" i="1" s="1"/>
  <c r="AB23" i="1"/>
  <c r="AO23" i="1" s="1"/>
  <c r="AH23" i="1"/>
  <c r="AB26" i="1"/>
  <c r="AO26" i="1" s="1"/>
  <c r="W30" i="1"/>
  <c r="X30" i="1" s="1"/>
  <c r="AH39" i="1"/>
  <c r="AB39" i="1"/>
  <c r="AO39" i="1" s="1"/>
  <c r="W39" i="1"/>
  <c r="X39" i="1" s="1"/>
  <c r="AB40" i="1"/>
  <c r="AO40" i="1" s="1"/>
  <c r="AH40" i="1"/>
  <c r="AH47" i="1"/>
  <c r="AB47" i="1"/>
  <c r="AO47" i="1" s="1"/>
  <c r="W47" i="1"/>
  <c r="X47" i="1" s="1"/>
  <c r="AB48" i="1"/>
  <c r="AO48" i="1" s="1"/>
  <c r="AH48" i="1"/>
  <c r="AH55" i="1"/>
  <c r="AB55" i="1"/>
  <c r="AO55" i="1" s="1"/>
  <c r="W55" i="1"/>
  <c r="X55" i="1" s="1"/>
  <c r="AB56" i="1"/>
  <c r="AO56" i="1" s="1"/>
  <c r="AH56" i="1"/>
  <c r="AH63" i="1"/>
  <c r="AB63" i="1"/>
  <c r="AO63" i="1" s="1"/>
  <c r="W63" i="1"/>
  <c r="X63" i="1" s="1"/>
  <c r="AB64" i="1"/>
  <c r="AO64" i="1" s="1"/>
  <c r="AH64" i="1"/>
  <c r="AH71" i="1"/>
  <c r="AB71" i="1"/>
  <c r="AO71" i="1" s="1"/>
  <c r="W71" i="1"/>
  <c r="X71" i="1" s="1"/>
  <c r="AH72" i="1"/>
  <c r="W72" i="1"/>
  <c r="X72" i="1" s="1"/>
  <c r="AB77" i="1"/>
  <c r="AO77" i="1" s="1"/>
  <c r="AH77" i="1"/>
  <c r="W81" i="1"/>
  <c r="X81" i="1" s="1"/>
  <c r="AH81" i="1"/>
  <c r="AB81" i="1"/>
  <c r="AO81" i="1" s="1"/>
  <c r="AH82" i="1"/>
  <c r="AB82" i="1"/>
  <c r="AO82" i="1" s="1"/>
  <c r="W82" i="1"/>
  <c r="X82" i="1" s="1"/>
  <c r="AH97" i="1"/>
  <c r="AB97" i="1"/>
  <c r="AO97" i="1" s="1"/>
  <c r="W97" i="1"/>
  <c r="X97" i="1" s="1"/>
  <c r="AB3" i="1"/>
  <c r="AH3" i="1"/>
  <c r="AB4" i="1"/>
  <c r="AO4" i="1" s="1"/>
  <c r="AB6" i="1"/>
  <c r="AO6" i="1" s="1"/>
  <c r="W10" i="1"/>
  <c r="X10" i="1" s="1"/>
  <c r="W16" i="1"/>
  <c r="X16" i="1" s="1"/>
  <c r="AB19" i="1"/>
  <c r="AO19" i="1" s="1"/>
  <c r="AH19" i="1"/>
  <c r="AB20" i="1"/>
  <c r="AO20" i="1" s="1"/>
  <c r="AB22" i="1"/>
  <c r="AO22" i="1" s="1"/>
  <c r="W26" i="1"/>
  <c r="X26" i="1" s="1"/>
  <c r="W32" i="1"/>
  <c r="X32" i="1" s="1"/>
  <c r="W6" i="1"/>
  <c r="X6" i="1" s="1"/>
  <c r="AB15" i="1"/>
  <c r="AO15" i="1" s="1"/>
  <c r="AH15" i="1"/>
  <c r="AB16" i="1"/>
  <c r="AO16" i="1" s="1"/>
  <c r="W22" i="1"/>
  <c r="X22" i="1" s="1"/>
  <c r="AB31" i="1"/>
  <c r="AO31" i="1" s="1"/>
  <c r="AH31" i="1"/>
  <c r="AB32" i="1"/>
  <c r="AO32" i="1" s="1"/>
  <c r="AH35" i="1"/>
  <c r="AB35" i="1"/>
  <c r="AO35" i="1" s="1"/>
  <c r="W35" i="1"/>
  <c r="X35" i="1" s="1"/>
  <c r="AB36" i="1"/>
  <c r="AO36" i="1" s="1"/>
  <c r="AH36" i="1"/>
  <c r="AH43" i="1"/>
  <c r="AB43" i="1"/>
  <c r="AO43" i="1" s="1"/>
  <c r="W43" i="1"/>
  <c r="X43" i="1" s="1"/>
  <c r="AB44" i="1"/>
  <c r="AO44" i="1" s="1"/>
  <c r="AH44" i="1"/>
  <c r="AH51" i="1"/>
  <c r="AB51" i="1"/>
  <c r="AO51" i="1" s="1"/>
  <c r="W51" i="1"/>
  <c r="X51" i="1" s="1"/>
  <c r="AB52" i="1"/>
  <c r="AO52" i="1" s="1"/>
  <c r="AH52" i="1"/>
  <c r="AH59" i="1"/>
  <c r="AB59" i="1"/>
  <c r="AO59" i="1" s="1"/>
  <c r="W59" i="1"/>
  <c r="X59" i="1" s="1"/>
  <c r="AB60" i="1"/>
  <c r="AO60" i="1" s="1"/>
  <c r="AH60" i="1"/>
  <c r="AH67" i="1"/>
  <c r="AB67" i="1"/>
  <c r="AO67" i="1" s="1"/>
  <c r="W67" i="1"/>
  <c r="X67" i="1" s="1"/>
  <c r="AB68" i="1"/>
  <c r="AO68" i="1" s="1"/>
  <c r="AH68" i="1"/>
  <c r="AH89" i="1"/>
  <c r="AB89" i="1"/>
  <c r="AO89" i="1" s="1"/>
  <c r="W89" i="1"/>
  <c r="X89" i="1" s="1"/>
  <c r="AB90" i="1"/>
  <c r="AO90" i="1" s="1"/>
  <c r="AH90" i="1"/>
  <c r="G275" i="14"/>
  <c r="E48" i="9"/>
  <c r="F43" i="11"/>
  <c r="G114" i="11"/>
  <c r="E9" i="14"/>
  <c r="AB72" i="1"/>
  <c r="AO72" i="1" s="1"/>
  <c r="W76" i="1"/>
  <c r="X76" i="1" s="1"/>
  <c r="AH85" i="1"/>
  <c r="AB85" i="1"/>
  <c r="AO85" i="1" s="1"/>
  <c r="W85" i="1"/>
  <c r="X85" i="1" s="1"/>
  <c r="AB86" i="1"/>
  <c r="AO86" i="1" s="1"/>
  <c r="AH86" i="1"/>
  <c r="AH93" i="1"/>
  <c r="AB93" i="1"/>
  <c r="AO93" i="1" s="1"/>
  <c r="W93" i="1"/>
  <c r="X93" i="1" s="1"/>
  <c r="AB94" i="1"/>
  <c r="AO94" i="1" s="1"/>
  <c r="AH94" i="1"/>
  <c r="AH101" i="1"/>
  <c r="AB101" i="1"/>
  <c r="AO101" i="1" s="1"/>
  <c r="W101" i="1"/>
  <c r="X101" i="1" s="1"/>
  <c r="J99" i="8"/>
  <c r="J5" i="10"/>
  <c r="H8" i="10" s="1"/>
  <c r="K122" i="10"/>
  <c r="I124" i="10" s="1"/>
  <c r="E9" i="11"/>
  <c r="E31" i="17"/>
  <c r="J115" i="8"/>
  <c r="F137" i="9"/>
  <c r="G230" i="12"/>
  <c r="E14" i="14"/>
  <c r="H207" i="14"/>
  <c r="E30" i="17"/>
  <c r="AH2" i="1" l="1"/>
  <c r="AO3" i="1"/>
  <c r="AB2" i="1"/>
</calcChain>
</file>

<file path=xl/sharedStrings.xml><?xml version="1.0" encoding="utf-8"?>
<sst xmlns="http://schemas.openxmlformats.org/spreadsheetml/2006/main" count="5062" uniqueCount="1214">
  <si>
    <t>Dollars per gallon</t>
  </si>
  <si>
    <t>Data Year - Fiscal</t>
  </si>
  <si>
    <t>Company Name</t>
  </si>
  <si>
    <t>Ticker Symbol</t>
  </si>
  <si>
    <t>ISO Currency Code</t>
  </si>
  <si>
    <t>Usually in management discussion. search gold production</t>
  </si>
  <si>
    <t>Current Assets - Total</t>
  </si>
  <si>
    <t>Assets - Total</t>
  </si>
  <si>
    <t>Capital Expenditures</t>
  </si>
  <si>
    <t>Common Shares Outstanding</t>
  </si>
  <si>
    <t>Long-Term Debt - Total</t>
  </si>
  <si>
    <t>Investing Activities - Net Cash Flow</t>
  </si>
  <si>
    <t>Cash and Short-Term Investments</t>
  </si>
  <si>
    <t>Decade</t>
  </si>
  <si>
    <t>Receivables - Total</t>
  </si>
  <si>
    <t>Current Liabilities - Total</t>
  </si>
  <si>
    <t>Estimate for diesel fuel growth when no info is available</t>
  </si>
  <si>
    <t>Liabilities - Total</t>
  </si>
  <si>
    <t>Usually in sustainability report, search diesel or fuel</t>
  </si>
  <si>
    <t>Operating Activities - Net Cash Flow</t>
  </si>
  <si>
    <t>tax loss carry forward</t>
  </si>
  <si>
    <t>Preferred Stock - Liquidating Value</t>
  </si>
  <si>
    <t>Revenue - Total</t>
  </si>
  <si>
    <t>Price Close - Annual - Calendar</t>
  </si>
  <si>
    <t>Price Close - Annual - Fiscal</t>
  </si>
  <si>
    <t>Standard Industry Classification Code</t>
  </si>
  <si>
    <t>Net income</t>
  </si>
  <si>
    <t>Size (market value euity + preferred stock + book value LT debt + current debt)</t>
  </si>
  <si>
    <t>Year-0</t>
  </si>
  <si>
    <t xml:space="preserve">see diesel &amp; heavy oil prices prices </t>
  </si>
  <si>
    <t>Year-1</t>
  </si>
  <si>
    <t>Year-2</t>
  </si>
  <si>
    <t>Year-3</t>
  </si>
  <si>
    <t>Year-4</t>
  </si>
  <si>
    <t>Year-5</t>
  </si>
  <si>
    <t>Year-6</t>
  </si>
  <si>
    <t>Year-7</t>
  </si>
  <si>
    <t>Year-8</t>
  </si>
  <si>
    <t>Year-9</t>
  </si>
  <si>
    <t>1990's</t>
  </si>
  <si>
    <t>In con. financial statement. second item under revenue</t>
  </si>
  <si>
    <t>hedging info in con financial statement and management discussion</t>
  </si>
  <si>
    <t>NA</t>
  </si>
  <si>
    <t>2000's</t>
  </si>
  <si>
    <t>Used when gold is less than 80% of production</t>
  </si>
  <si>
    <t>2010's</t>
  </si>
  <si>
    <t>https://www.eia.gov/dnav/pet/hist/LeafHandler.ashx?n=PET&amp;s=EMD_EPD2D_PTE_NUS_DPG&amp;f=A</t>
  </si>
  <si>
    <t>Tax schedual proxy (tax loss carry forward / firm value)</t>
  </si>
  <si>
    <t>ME (Market value equity)</t>
  </si>
  <si>
    <t>Quick ratio</t>
  </si>
  <si>
    <t>DEBT (current liabilities - current assets) + long term debt</t>
  </si>
  <si>
    <t>Q-ratio</t>
  </si>
  <si>
    <t xml:space="preserve">This methid is used when gold accounts for 80% or more of revenue </t>
  </si>
  <si>
    <t>usully in mnagement discussion, search for gold production</t>
  </si>
  <si>
    <t>CAPX / sales (proxy for investment opportunities)</t>
  </si>
  <si>
    <t>Long-term debt to total assets (proxy for financial distress cost)</t>
  </si>
  <si>
    <t>cash flow to sales (proxy for financial slack)</t>
  </si>
  <si>
    <t>gold delta percentage</t>
  </si>
  <si>
    <t>oil delta percantage</t>
  </si>
  <si>
    <t>leverage ratio (book value long term debt to market value common equity)</t>
  </si>
  <si>
    <t>% shares held by executives</t>
  </si>
  <si>
    <t>% options held by executives</t>
  </si>
  <si>
    <t>Total cash cost</t>
  </si>
  <si>
    <t xml:space="preserve">% of revenue not coming from gold </t>
  </si>
  <si>
    <t>ROA</t>
  </si>
  <si>
    <t>LN total assets</t>
  </si>
  <si>
    <t>LN Q</t>
  </si>
  <si>
    <t>https://www.energy.gov/eere/vehicles/fact-915-march-7-2016-average-historical-annual-gasoline-pump-price-1929-2015</t>
  </si>
  <si>
    <t>hedging info usually in con. financial statement, search hedg, derivative etc</t>
  </si>
  <si>
    <t xml:space="preserve">con. financial statement </t>
  </si>
  <si>
    <t>retail gasoline price</t>
  </si>
  <si>
    <t>Stock Exchange Code</t>
  </si>
  <si>
    <t>Report</t>
  </si>
  <si>
    <t>Fiscal year ended</t>
  </si>
  <si>
    <t>Total gold production (ounces)</t>
  </si>
  <si>
    <t>gold production growth</t>
  </si>
  <si>
    <t>fuel consumed (gallons)</t>
  </si>
  <si>
    <t>gallons per ounce</t>
  </si>
  <si>
    <t>fuel cost % of production cost</t>
  </si>
  <si>
    <t>production cost</t>
  </si>
  <si>
    <t>gallons hedged</t>
  </si>
  <si>
    <t>Delta pos</t>
  </si>
  <si>
    <t>timing</t>
  </si>
  <si>
    <t>net delta / this years consumption</t>
  </si>
  <si>
    <t>stream (in million)</t>
  </si>
  <si>
    <t>Executive options</t>
  </si>
  <si>
    <t>Executive shares</t>
  </si>
  <si>
    <t>director shares</t>
  </si>
  <si>
    <t>aggregate</t>
  </si>
  <si>
    <t>note</t>
  </si>
  <si>
    <t>link</t>
  </si>
  <si>
    <t>common shares outstanding</t>
  </si>
  <si>
    <t>% options to shares held by executives</t>
  </si>
  <si>
    <t>total cash cost</t>
  </si>
  <si>
    <t>total cash cost (net of byproduct rev)</t>
  </si>
  <si>
    <t>estimated gold production next yesr (ounces)</t>
  </si>
  <si>
    <t>ounces hedged</t>
  </si>
  <si>
    <t>net delta position</t>
  </si>
  <si>
    <t>Net delta position / next year prod</t>
  </si>
  <si>
    <t>Hedging contract of byproduct metals outstanding</t>
  </si>
  <si>
    <t>Sustainability report</t>
  </si>
  <si>
    <t>annual report</t>
  </si>
  <si>
    <t>Note</t>
  </si>
  <si>
    <t>AGNICO EAGLE MINES LTD</t>
  </si>
  <si>
    <t>AEM</t>
  </si>
  <si>
    <t>USD</t>
  </si>
  <si>
    <t>20-F</t>
  </si>
  <si>
    <t>maturity (T)</t>
  </si>
  <si>
    <t>Current price at year end (S0)</t>
  </si>
  <si>
    <t>risk free rate (r)</t>
  </si>
  <si>
    <t>https://www.treasury.gov/resource-center/data-chart-center/interest-rates/Pages/TextView.aspx?data=yieldYear&amp;year=2001</t>
  </si>
  <si>
    <t>https://s21.q4cdn.com/374334112/files/doc_downloads/sd_reports/2009English-Summary.pdf</t>
  </si>
  <si>
    <t>60 annualized actual vol</t>
  </si>
  <si>
    <t>https://www.mcxindia.com/education-training/knowledge-series/methodogies/aav</t>
  </si>
  <si>
    <t>call strike (K)</t>
  </si>
  <si>
    <t>put strike (K)</t>
  </si>
  <si>
    <t>https://www.sec.gov/Archives/edgar/data/2809/000104746910002778/a2197435z20-f.htm</t>
  </si>
  <si>
    <t>delta call</t>
  </si>
  <si>
    <t>delta put</t>
  </si>
  <si>
    <t>D1</t>
  </si>
  <si>
    <t>( ln(F0/K)+vol^2 / 2 ) / vol*sqrt(T)</t>
  </si>
  <si>
    <t>call</t>
  </si>
  <si>
    <t>ln(St/K)</t>
  </si>
  <si>
    <t>(r+vol^2 / 2 ) * t</t>
  </si>
  <si>
    <t>vol * sqrt(t)</t>
  </si>
  <si>
    <t>delta</t>
  </si>
  <si>
    <t>put</t>
  </si>
  <si>
    <t>https://s21.q4cdn.com/374334112/files/doc_downloads/sd_reports/2010English-Full.pdf</t>
  </si>
  <si>
    <t>https://www.sec.gov/Archives/edgar/data/2809/000104746911002754/a2202678z20-f.htm</t>
  </si>
  <si>
    <t>https://s21.q4cdn.com/374334112/files/doc_downloads/sd_reports/2011English-Full.pdf</t>
  </si>
  <si>
    <t>https://www.macrotrends.net/2479/heating-oil-prices-historical-chart-data</t>
  </si>
  <si>
    <t>BARRICK GOLD CORP</t>
  </si>
  <si>
    <t>ABX</t>
  </si>
  <si>
    <t>Year</t>
  </si>
  <si>
    <t>https://s21.q4cdn.com/374334112/files/doc_downloads/sd_reports/2012English-Full.pdf</t>
  </si>
  <si>
    <t>Average
Closing Price</t>
  </si>
  <si>
    <t>Year Open</t>
  </si>
  <si>
    <t>Year High</t>
  </si>
  <si>
    <t>Year Low</t>
  </si>
  <si>
    <t>Year Close</t>
  </si>
  <si>
    <t>Annual
% Change</t>
  </si>
  <si>
    <t>https://www.sec.gov/Archives/edgar/data/2809/000104746913003581/a2211934z20-f.htm</t>
  </si>
  <si>
    <t>40-F</t>
  </si>
  <si>
    <t>https://s21.q4cdn.com/374334112/files/doc_downloads/sd_reports/2013-AEM_CSR_2013.pdf</t>
  </si>
  <si>
    <t>https://www.sec.gov/Archives/edgar/data/2809/000104746914003006/a2219161zex-99_2.htm</t>
  </si>
  <si>
    <t>no info</t>
  </si>
  <si>
    <t>https://s21.q4cdn.com/374334112/files/doc_downloads/sd_reports/2014English-Full.pdf</t>
  </si>
  <si>
    <t>https://www.sec.gov/Archives/edgar/data/2809/000104746915002736/a2223824zex-99_2.htm</t>
  </si>
  <si>
    <t>https://s21.q4cdn.com/374334112/files/doc_downloads/sd_reports/2015English-Full.pdf</t>
  </si>
  <si>
    <t>https://www.sec.gov/Archives/edgar/data/2809/000104746916011508/a2227223zex-99_2.htm</t>
  </si>
  <si>
    <t>NEWMONT MINING CORP</t>
  </si>
  <si>
    <t>NEM</t>
  </si>
  <si>
    <t>https://www.sec.gov/Archives/edgar/data/2809/000104746917002009/a2231316zex-99_2.htm</t>
  </si>
  <si>
    <t>Total diesel fuel use increased from 104.8 million litres (ML) in 2016 to 110.3 ML in 2017</t>
  </si>
  <si>
    <t>gallons</t>
  </si>
  <si>
    <t>as at December 31, 2017 relating to 5.0 million gallons of heating oil (2016 – 1.0 million).</t>
  </si>
  <si>
    <t>https://www.sec.gov/Archives/edgar/data/2809/000104746918002083/a2234701zex-99_2.htm</t>
  </si>
  <si>
    <t>https://s21.q4cdn.com/374334112/files/doc_downloads/2018/11344_SD-Summary_2017_EN.pdf</t>
  </si>
  <si>
    <t>payable gold production of 1,662,888 ounces</t>
  </si>
  <si>
    <t>in con</t>
  </si>
  <si>
    <t>104.8 ML in 2016.</t>
  </si>
  <si>
    <t>https://s21.q4cdn.com/374334112/files/doc_downloads/sd_reports/11239_AEM_2016-SDR_Typeset-Complete_v5b.pdf</t>
  </si>
  <si>
    <t>There were derivative financial instruments outstanding as at December 31, 2017 relating to 5.0 million gallons of heating oil (2016 – 1.0 million).</t>
  </si>
  <si>
    <t>price</t>
  </si>
  <si>
    <t>cost</t>
  </si>
  <si>
    <t>There were derivative financial instruments outstanding as at December 31, 2016 relating to 1.0 million gallons of heating oil (December 31, 2015 – 7.0 million gallons of heating oil).</t>
  </si>
  <si>
    <t>Annual payable gold production is expected to decrease to approximately 1,555,000 ounces in 2017</t>
  </si>
  <si>
    <t>management discussion</t>
  </si>
  <si>
    <t>payable gold production of 1,671,340 ounces.</t>
  </si>
  <si>
    <t>Annual payable gold production is expected to decrease to approximately 1,545,000 ounces in 2016</t>
  </si>
  <si>
    <t>Total diesel fuel consumption increased to 112.6 million litres (ML) in 2015</t>
  </si>
  <si>
    <t>gallon</t>
  </si>
  <si>
    <t>http://q4live.s22.clientfiles.s3-website-us-east-1.amazonaws.com/788666289/files/responsibility/report/Barrick-2009-Responsibility-Report.pdf</t>
  </si>
  <si>
    <t>18. REVENUES FROM MINING OPERATIONS</t>
  </si>
  <si>
    <t>outstanding at December 31, 2015 relating to 7.0 million gallons of heating oil (December 31, 2014 – 14.0 million gallons)</t>
  </si>
  <si>
    <t>https://www.sec.gov/Archives/edgar/data/756894/000110465910017012/a10-4461_1ex99d3.htm</t>
  </si>
  <si>
    <t>In 2014, Agnico Eagle recorded total cash costs per ounce of gold produced of $637 on a by-product basis and $721 on a co-product basis on payable gold production of 1,429,288 ounces. The average realized price of gold decreased by 7.7% from $1,366 per ounce in 2013 to $1,261 per ounce in 2014.</t>
  </si>
  <si>
    <t>payable gold production is expected to increase to approximately 1,600,000 ounces in 2015,</t>
  </si>
  <si>
    <t>Total diesel fuel consumption increased slightly to 107 million litres in 2014</t>
  </si>
  <si>
    <t>eliminated gold hedging</t>
  </si>
  <si>
    <t>heating oil contracts</t>
  </si>
  <si>
    <t>https://barrick.q4cdn.com/788666289/files/responsibility/report/Barrick-2010-Responsibility-Report.pdf</t>
  </si>
  <si>
    <t>KINROSS GOLD CORP</t>
  </si>
  <si>
    <t>KGC</t>
  </si>
  <si>
    <t>https://www.sec.gov/Archives/edgar/data/756894/000110465911017950/a10-24327_1ex99d3.htm</t>
  </si>
  <si>
    <t>outstanding at December 31, 2014 relating to 14.0 million gallons of heating oil</t>
  </si>
  <si>
    <t>Record annual payable gold production of 1,099,335 ounces during 2013</t>
  </si>
  <si>
    <t>Annual payable gold production is expected to increase to approximately 1,275,000 ounces in 2016,</t>
  </si>
  <si>
    <t>Diesel fuel consumption stayed relatively the same with a total of 101 million litres in 2013</t>
  </si>
  <si>
    <t>galllons</t>
  </si>
  <si>
    <t>annual payable gold production of 1,043,811 ounces in 2012</t>
  </si>
  <si>
    <t>n 2013, the Company expects to continue to generate strong cash flow with payable gold production between 970,000 and 1,010,000 ounces,</t>
  </si>
  <si>
    <t>100 million litres in 2012.</t>
  </si>
  <si>
    <t>https://barrick.q4cdn.com/788666289/files/responsibility/report/Barrick-2011-Responsibility-Report.pdf</t>
  </si>
  <si>
    <t>exposure. In addition, the financial contracts expiring in 2013 total 0.5 million gallons of heating oil, representing approximately 3% of Meadowbank's expected 2013 diesel fuel exposure.</t>
  </si>
  <si>
    <t>2011, gold production of 985,460 ounces</t>
  </si>
  <si>
    <t>https://www.sec.gov/Archives/edgar/data/756894/000119312512137603/d320681dex993.htm</t>
  </si>
  <si>
    <t>For 2012, the Company expects to produce between 875,000 and 950,000 ounces of gold</t>
  </si>
  <si>
    <t>Diesel fuel consumption increased from 77.5 million litres to 94.7 million litres,</t>
  </si>
  <si>
    <t>In 2010, gold production of 987,607 ounces</t>
  </si>
  <si>
    <t>, gold production is forecasted to increase by 18% from 2010</t>
  </si>
  <si>
    <t>https://barrick.q4cdn.com/788666289/files/responsibility/report/Barrick-2012-Corporate-Responsibility-Report.pdf</t>
  </si>
  <si>
    <t>https://www.sec.gov/Archives/edgar/data/756894/000119312513131918/d502385dex993.htm</t>
  </si>
  <si>
    <t>Diesel fuel consumption increased from 13,345 kilolitres to 77,816 kilolitres,</t>
  </si>
  <si>
    <t>https://barrick.q4cdn.com/788666289/files/responsibility/report/Barrick-2013-Corporate-Responsibility-Report.pdf</t>
  </si>
  <si>
    <t>https://www.sec.gov/Archives/edgar/data/756894/000119312514123835/d693534dex993.htm</t>
  </si>
  <si>
    <t>https://barrick.q4cdn.com/788666289/files/responsibility/report/Barrick-2014-Responsibility-Report.pdf</t>
  </si>
  <si>
    <t>https://www.sec.gov/Archives/edgar/data/756894/000119312515109743/d896700dex993.htm</t>
  </si>
  <si>
    <t>GOLDCORP INC</t>
  </si>
  <si>
    <t>GG</t>
  </si>
  <si>
    <t>Energy generated from diesel and petrol* 4.25 x 10-1 4.58 x 105 2.33 x 105</t>
  </si>
  <si>
    <t>Fuels – petrol and diesel</t>
  </si>
  <si>
    <t>8 899</t>
  </si>
  <si>
    <t>6 554</t>
  </si>
  <si>
    <t>12 833</t>
  </si>
  <si>
    <t>https://barrick.q4cdn.com/788666289/files/responsibility/report/Barrick-2015-Responsibility-Report.pdf</t>
  </si>
  <si>
    <t>11 875</t>
  </si>
  <si>
    <t>https://www.sec.gov/Archives/edgar/data/756894/000119312516518731/d139103d40f.htm</t>
  </si>
  <si>
    <t>Fuels – petrol and diesel 6 554 12 833</t>
  </si>
  <si>
    <t>13 552</t>
  </si>
  <si>
    <t>Petrol and diesel 30 135 44 7882 51 826 6 554</t>
  </si>
  <si>
    <t>increased data interety from operations</t>
  </si>
  <si>
    <t>Petrol and diesel (ℓ)</t>
  </si>
  <si>
    <t>61 354**</t>
  </si>
  <si>
    <t>https://barrick.q4cdn.com/788666289/files/responsibility/Barrick-2016-GRI-Content-Index.pdf</t>
  </si>
  <si>
    <t>30 135</t>
  </si>
  <si>
    <t>44 788*</t>
  </si>
  <si>
    <t>51 826</t>
  </si>
  <si>
    <t>Petrol and diesel (000l) 27 148*** 61 354** 30 135 44 788 51 826</t>
  </si>
  <si>
    <t>Petrol and diesel (000l) 24 464 27 148 ** 61 354 *** 30 135 44 788</t>
  </si>
  <si>
    <t>https://www.sec.gov/Archives/edgar/data/756894/000119312517095834/d334629dex993.htm</t>
  </si>
  <si>
    <t>Petrol and diesel (000l) 20 298 24 464 2 27 148 3 61 354 30 135</t>
  </si>
  <si>
    <t>Petrol and diesel (000L) 7 40 811</t>
  </si>
  <si>
    <t>gold produced</t>
  </si>
  <si>
    <t>Substantially all of our revenues come from the sale of gold</t>
  </si>
  <si>
    <t>no hedges</t>
  </si>
  <si>
    <t>https://barrick.q4cdn.com/788666289/files/sustainability/2017-Sustainability-Report-Summary.pdf</t>
  </si>
  <si>
    <t>https://www.sec.gov/Archives/edgar/data/756894/000119312518094424/d441945dex993.htm</t>
  </si>
  <si>
    <t>HECLA MINING CO</t>
  </si>
  <si>
    <t>HL</t>
  </si>
  <si>
    <t>GOLD FIELDS LTD</t>
  </si>
  <si>
    <t>GFI</t>
  </si>
  <si>
    <t>10-K</t>
  </si>
  <si>
    <t>GJ</t>
  </si>
  <si>
    <t>aggregate is with options and some other officers not named</t>
  </si>
  <si>
    <t>In 2009, the Company entered into additional option contracts at a cost of $1.6 million, hedging 36%, or 8.6 million gallons of 2010 planned fuel requirements. These option contracts cover consumption at the Rosebel, Mupane, Sadiola, Yatela and Essakane operations. The fair value of these contracts was $2.7 million at the end of 2009.</t>
  </si>
  <si>
    <t>https://www.sec.gov/Archives/edgar/data/1164727/000095012310016613/d70495e10vk.htm#136</t>
  </si>
  <si>
    <t>gold prod</t>
  </si>
  <si>
    <t>prod cost</t>
  </si>
  <si>
    <t>2010 gold production guidance to be between 940,000 and 1,000,000 ounces</t>
  </si>
  <si>
    <t>rev</t>
  </si>
  <si>
    <t>niobium</t>
  </si>
  <si>
    <t>no gold hedge</t>
  </si>
  <si>
    <t>no data pn terms of option contracts</t>
  </si>
  <si>
    <t>non gold</t>
  </si>
  <si>
    <t>delta pos</t>
  </si>
  <si>
    <t>assumed delta</t>
  </si>
  <si>
    <t>https://www.sec.gov/Archives/edgar/data/1164727/000095012311017350/d79003e10vk.htm#D79003134</t>
  </si>
  <si>
    <t>hedge</t>
  </si>
  <si>
    <t>ounces hedges</t>
  </si>
  <si>
    <t>https://www.sec.gov/Archives/edgar/data/1164727/000119312512075918/d263670d10k.htm#tx263670_35</t>
  </si>
  <si>
    <t>1.1 and 1.2 million attributable</t>
  </si>
  <si>
    <t>outlook</t>
  </si>
  <si>
    <t>The market risk related to the fluctuation in the price of gold has an impact on the fair value of the gold derivative and embedded derivative contracts. The Company’s gold contracts are specific to the Mupane mine production and intended to support a positive operating cash flow for the remaining limited life of the operation. As of December 31, 2010, the options provided protection on 52,800 ounces in 2011 at prices between $1,000 and $1,400 per ounce, and on 54,000 ounces in 2012 at prices between $1,000 and $1,500 per ounce. The total of these option contracts provides hedges of in excess of 80% of the expected production through the end of mine life in 2013</t>
  </si>
  <si>
    <t>op cost</t>
  </si>
  <si>
    <t>SUMMARIZED FINANCIAL RESULTS</t>
  </si>
  <si>
    <t>https://www.sec.gov/Archives/edgar/data/1164727/000119312513070256/d462654d10k.htm#tx462654_34</t>
  </si>
  <si>
    <t>tot rev</t>
  </si>
  <si>
    <t>delta out</t>
  </si>
  <si>
    <t>ANGLOGOLD ASHANTI LTD</t>
  </si>
  <si>
    <t>AU</t>
  </si>
  <si>
    <t>no oil hedges</t>
  </si>
  <si>
    <t>Contract prices were between $2.55 and $2.99 per gallon for heating oil</t>
  </si>
  <si>
    <t>between $70 and $95 per barrel for crude oil</t>
  </si>
  <si>
    <t>diesel</t>
  </si>
  <si>
    <t>https://sustainabilityreport.newmont.com/2013/_docs/BTM-2013-full.pdf</t>
  </si>
  <si>
    <t>As a result, as at December 31, 2011, the Company had outstanding option contracts covering 66% of its fuel exposure in 2012. Contract prices were between $2.55 and $2.99 per gallon for heating oil, and between $70 and $95 per barrel for crude oil. Planned fuel requirements are for the Rosebel, Essakane, Sadiola, Yatela, Niobec and Westwood operations.</t>
  </si>
  <si>
    <t>https://www.sec.gov/Archives/edgar/data/1164727/000119312514061205/d653301d10k.htm#toc653301_34</t>
  </si>
  <si>
    <t>heating oil</t>
  </si>
  <si>
    <t>WTI</t>
  </si>
  <si>
    <t>gasoline</t>
  </si>
  <si>
    <t>60 day vol</t>
  </si>
  <si>
    <t>vol</t>
  </si>
  <si>
    <t>boiler fuel oil</t>
  </si>
  <si>
    <t xml:space="preserve">price </t>
  </si>
  <si>
    <t>total</t>
  </si>
  <si>
    <t>https://www.sec.gov/Archives/edgar/data/1164727/000156459015000777/nem-10k_20141231.htm</t>
  </si>
  <si>
    <t>barrels</t>
  </si>
  <si>
    <t>Attributable gold production (oz)</t>
  </si>
  <si>
    <t>https://www.sec.gov/Archives/edgar/data/1164727/000155837016003258/nem-20151231x10k.htm#ITEM7AQUANTITATIVEANDQUALITATIVEDISCLOSU</t>
  </si>
  <si>
    <t>Attributable gold production from continuing operations</t>
  </si>
  <si>
    <t>total rev</t>
  </si>
  <si>
    <t>840,000 to 910,000</t>
  </si>
  <si>
    <t>https://www.sec.gov/Archives/edgar/data/1164727/000155837017000729/nem-20161231x10k.htm#ITEM7AQUANTITATIVEANDQUALITATIVEDISCLOSU</t>
  </si>
  <si>
    <t>$75 and $95 per barrel for crude oil.</t>
  </si>
  <si>
    <t>https://www.sec.gov/Archives/edgar/data/1164727/000155837018000894/nem-20171231x10k.htm</t>
  </si>
  <si>
    <t>$</t>
  </si>
  <si>
    <t>875 – 950</t>
  </si>
  <si>
    <t>cost of sales</t>
  </si>
  <si>
    <t>biobium</t>
  </si>
  <si>
    <t>aluminium hedge</t>
  </si>
  <si>
    <t>ELDORADO GOLD CORP</t>
  </si>
  <si>
    <t>EGO</t>
  </si>
  <si>
    <t>Crude oil option contracts</t>
  </si>
  <si>
    <t>fuel usage see 2010</t>
  </si>
  <si>
    <t>http://www.annualreports.com/HostedData/AnnualReportArchive/K/TSX_K_2009.pdf</t>
  </si>
  <si>
    <t>As at December 31, 2013, the Company had no outstanding option contracts for 2014 and outstanding option contracts for 2015 of 600,000 barrels of oil, which did not qualify for hedge accounting, covering approximately 41% of its estimated fuel exposure. Contract prices range from $79 to $95 per barrel.</t>
  </si>
  <si>
    <t>Acquisition of Bema Gold Corporation</t>
  </si>
  <si>
    <t>https://s2.q4cdn.com/496390694/files/doc_downloads/reports_and_downloads/kinross2010datatablesfinal.pdf</t>
  </si>
  <si>
    <t>As at December 31, 2013, the Company had no outstanding option contracts for 2014 and outstanding option contracts for 2015 of 600,000 barrels of oil, which did not qualify for hedge accounting, covering approximately 41% of its estimated fuel exposure. Contract prices range from $79 to $95 per barrel. Planned fuel requirements are for the Rosebel, Essakane, Westwood and Niobec operations.</t>
  </si>
  <si>
    <t>https://www.sec.gov/Archives/edgar/data/701818/000104746911002981/a2202509zex-99_3.htm</t>
  </si>
  <si>
    <t>produced</t>
  </si>
  <si>
    <t>brrels</t>
  </si>
  <si>
    <t>835 - 900</t>
  </si>
  <si>
    <t>alu hedge</t>
  </si>
  <si>
    <t>https://s2.q4cdn.com/496390694/files/doc_downloads/reports_and_downloads/kinross_2011_cr_report.pdf</t>
  </si>
  <si>
    <t>rf 1 Y</t>
  </si>
  <si>
    <t>2Y</t>
  </si>
  <si>
    <t>3Y</t>
  </si>
  <si>
    <t>https://www.sec.gov/Archives/edgar/data/701818/000104746912003703/a2208497zex-99_3.htm</t>
  </si>
  <si>
    <t>WTI year end</t>
  </si>
  <si>
    <t>2 month realized vol</t>
  </si>
  <si>
    <t>average strike</t>
  </si>
  <si>
    <t>https://s2.q4cdn.com/496390694/files/doc_downloads/reports_and_downloads/2012-kinross-cr-data-supplement.pdf</t>
  </si>
  <si>
    <t>https://www.sec.gov/Archives/edgar/data/701818/000110465913026203/a13-7850_2ex99d3.htm</t>
  </si>
  <si>
    <t>YAMANA GOLD INC</t>
  </si>
  <si>
    <t>AUY</t>
  </si>
  <si>
    <t>niobium mine is sold</t>
  </si>
  <si>
    <t xml:space="preserve">non gold </t>
  </si>
  <si>
    <t>https://s2.q4cdn.com/496390694/files/doc_downloads/reports_and_downloads/kinross_2013_corporate_responsibility_report.pdf</t>
  </si>
  <si>
    <t>820 - 860</t>
  </si>
  <si>
    <t>https://www.sec.gov/Archives/edgar/data/701818/000110465914024565/a14-8882_1ex99d3.htm</t>
  </si>
  <si>
    <t>net pos</t>
  </si>
  <si>
    <t>no gold or other derivatives</t>
  </si>
  <si>
    <t>http://www.annualreports.com/HostedData/AnnualReportArchive/K/TSX_K_2014.pdf</t>
  </si>
  <si>
    <t>https://www.sec.gov/Archives/edgar/data/701818/000157104916013716/t1600192_ex99-3.htm</t>
  </si>
  <si>
    <t>Brent 2016 collars</t>
  </si>
  <si>
    <t xml:space="preserve">WTI </t>
  </si>
  <si>
    <t>2017 calls</t>
  </si>
  <si>
    <t>http://www.annualreports.com/HostedData/AnnualReportArchive/K/TSX_K_2015.pdf</t>
  </si>
  <si>
    <t>brent 2017 calls</t>
  </si>
  <si>
    <t>https://www.sec.gov/Archives/edgar/data/701818/000104746917002232/a2231585zex-99_3.htm</t>
  </si>
  <si>
    <t>http://www.annualreports.com/HostedData/AnnualReportArchive/k/TSX_K_2016.pdf</t>
  </si>
  <si>
    <t>https://www.sec.gov/Archives/edgar/data/701818/000104746918002511/a2235004zex-99_3.htm</t>
  </si>
  <si>
    <t>pelat put</t>
  </si>
  <si>
    <t>http://www.annualreports.com/HostedData/AnnualReportArchive/k/TSX_K_2017.pdf</t>
  </si>
  <si>
    <t>The Company expects 2016 attributable gold production to be in the range of 770,000 to 800,000 ounces</t>
  </si>
  <si>
    <t>MCEWEN MINING INC</t>
  </si>
  <si>
    <t>MUX</t>
  </si>
  <si>
    <t>IAMGOLD CORP</t>
  </si>
  <si>
    <t>IAG</t>
  </si>
  <si>
    <t>no other hedges</t>
  </si>
  <si>
    <t>hedged</t>
  </si>
  <si>
    <t>tot delta pos</t>
  </si>
  <si>
    <t>The Company purchased call options with a strike price of $60</t>
  </si>
  <si>
    <t>WTI collar</t>
  </si>
  <si>
    <t>VISTA GOLD CORP</t>
  </si>
  <si>
    <t>VGZ</t>
  </si>
  <si>
    <t>1 year</t>
  </si>
  <si>
    <t>fuel oil</t>
  </si>
  <si>
    <t>production</t>
  </si>
  <si>
    <t>CALEDONIA MINING CORP PLC</t>
  </si>
  <si>
    <t>CMCL</t>
  </si>
  <si>
    <t>CAD</t>
  </si>
  <si>
    <t>The Company expects 2017 attributable gold production to be in the range of 845,000 to 885,000 ounces</t>
  </si>
  <si>
    <t>396 barrles</t>
  </si>
  <si>
    <t>247 bar</t>
  </si>
  <si>
    <t>brent</t>
  </si>
  <si>
    <t>NEW GOLD INC</t>
  </si>
  <si>
    <t>INDL</t>
  </si>
  <si>
    <t>prod</t>
  </si>
  <si>
    <t>gollons hedged</t>
  </si>
  <si>
    <t>cant find report</t>
  </si>
  <si>
    <t>https://www.sec.gov/Archives/edgar/data/919239/000095012310026345/x60364exv99w3.htm</t>
  </si>
  <si>
    <t>Brent crude oil option contracts (barrels)1</t>
  </si>
  <si>
    <t>Option contracts with strike prices at ($ /barrel)</t>
  </si>
  <si>
    <t>42-60</t>
  </si>
  <si>
    <t>44-60</t>
  </si>
  <si>
    <t>50-62</t>
  </si>
  <si>
    <t>assumed strikes</t>
  </si>
  <si>
    <t>WTI crude oil option contracts (barrels)1</t>
  </si>
  <si>
    <t>36-60</t>
  </si>
  <si>
    <t>https://s3-us-west-2.amazonaws.com/ungc-production/attachments/11823/original/Goldcorp_SR_2010_final.pdf?1314912284</t>
  </si>
  <si>
    <t>43-60</t>
  </si>
  <si>
    <t>The Company purchased Brent and WTI collar options with strike prices within the given range in 2018, 2019 and 2020. If Brent and WTI market prices are below the low end of the range in 2018, 2019 and 2020, the Company will incur a loss from the margin between the lower market price and the set put strike price. If Brent and WTI are above the high end of the range of the call strike price in 2018, 2019 and 2020, the Company will benefit from the margin between the higher market price and the set call strike price</t>
  </si>
  <si>
    <t>6 month</t>
  </si>
  <si>
    <t>1.5 Y</t>
  </si>
  <si>
    <t>2.5 Y</t>
  </si>
  <si>
    <t>collar when buying a commodity -  selling put buying call</t>
  </si>
  <si>
    <t>https://www.sec.gov/Archives/edgar/data/919239/000095012311031581/o68669exv99w3.htm</t>
  </si>
  <si>
    <t>vola</t>
  </si>
  <si>
    <t>put call</t>
  </si>
  <si>
    <t>https://www.sec.gov/Archives/edgar/data/919239/000119312512144796/d282723dex993.htm</t>
  </si>
  <si>
    <t>http://csr.goldcorp.com/2012/_docs/2012_Sustainability_Report_feb_17_2014.pdf</t>
  </si>
  <si>
    <t>http://csr.goldcorp.com/2013/_docs/Goldcorp_2013_Sustainability_GRI.pdf</t>
  </si>
  <si>
    <t>https://www.sec.gov/Archives/edgar/data/919239/000119312514124285/d688948dex993.htm</t>
  </si>
  <si>
    <t>https://s22.q4cdn.com/653477107/files/doc_financials/2014/0_0_goldcorp_csr_2014_full.pdf</t>
  </si>
  <si>
    <t>https://www.sec.gov/Archives/edgar/data/919239/000119312515095606/d879232dex993.htm</t>
  </si>
  <si>
    <t>Silver Wheaton stream contract expired</t>
  </si>
  <si>
    <t>barrick sustainability reports:</t>
  </si>
  <si>
    <t>https://www.barrick.com/English/investors/presentations-reports/default.aspx</t>
  </si>
  <si>
    <t>https://s22.q4cdn.com/653477107/files/doc_financials/2015/0_0_goldcorp_csr_2015_full.pdf</t>
  </si>
  <si>
    <t>https://www.sec.gov/Archives/edgar/data/919239/000119312516521641/d135734dex993.htm</t>
  </si>
  <si>
    <t>Could not find info on diesel consumption</t>
  </si>
  <si>
    <t>We expect 2018 gold production to be in the range of 4.5 to 5.0 million ounces</t>
  </si>
  <si>
    <t>https://www.sec.gov/Archives/edgar/data/756894/000119312518094424/d441945dex994.htm</t>
  </si>
  <si>
    <t>https://www.sec.gov/Archives/edgar/data/919239/000119312517095502/d535171dex991.htm</t>
  </si>
  <si>
    <t>Barrels
(thousands)</t>
  </si>
  <si>
    <t>Average
price</t>
  </si>
  <si>
    <t>% of total
expected
exposure</t>
  </si>
  <si>
    <t>Impact of $10
change on pre-tax
earnings (USD
millions)1</t>
  </si>
  <si>
    <t>https://s22.q4cdn.com/653477107/files/doc_financials/2016/0_0_goldcorp_csr_2016_full.pdf</t>
  </si>
  <si>
    <t>5.32 MOZ</t>
  </si>
  <si>
    <t>gold production</t>
  </si>
  <si>
    <t>exposure hedged 2018</t>
  </si>
  <si>
    <t>https://www.sec.gov/Archives/edgar/data/919239/000119312517085380/d347500dex993.htm</t>
  </si>
  <si>
    <t>can use average</t>
  </si>
  <si>
    <t>On average we consume approximately 4 million barrels of diesel fuel annually across all our mines.</t>
  </si>
  <si>
    <t>Non-hedge Derivatives</t>
  </si>
  <si>
    <t>https://s22.q4cdn.com/653477107/files/2017-Sustainability-Report.pdf</t>
  </si>
  <si>
    <t>We enter into purchased and written contracts with the primary objective of increasing the realized price on some of our gold and copper sales. During the year, Acacia purchased gold put options of 210 thousand ounces. As a result of these activities, we recorded approximately $4 million in the consolidated statement of income as gains on non-hedge derivatives. There are 105 thousand ounces of gold positions outstanding at December 31, 2017.</t>
  </si>
  <si>
    <t>https://www.sec.gov/Archives/edgar/data/919239/000119312518094314/d476302dex993.htm</t>
  </si>
  <si>
    <t>Deposit on Pueblo Viejo gold and
 silver streaming agreement</t>
  </si>
  <si>
    <t xml:space="preserve">gold production </t>
  </si>
  <si>
    <t>heavy fuel oil</t>
  </si>
  <si>
    <t>SIBANYE-STILLWATER LIMITED</t>
  </si>
  <si>
    <t>SBGL</t>
  </si>
  <si>
    <t>Gigajoules</t>
  </si>
  <si>
    <t>https://www.convertunits.com/from/gigajoule/to/gallon+[U.S.]+of+distillate+no.+2+fuel+oil</t>
  </si>
  <si>
    <t>Impact of $10 
change on pre-tax 
earnings (USD 
millions)1</t>
  </si>
  <si>
    <t>e expect 2017 gold production to be in the range of 5.6 to 5.9 million ounces</t>
  </si>
  <si>
    <t>There are 43 thousand ounces of gold positions and 13 million pounds of copper positions outstanding at December 31, 2016.</t>
  </si>
  <si>
    <t>production 2015</t>
  </si>
  <si>
    <t>gold stream</t>
  </si>
  <si>
    <t>https://www.sec.gov/Archives/edgar/data/1172724/000119312509246637/d20f.htm</t>
  </si>
  <si>
    <t>est 2016</t>
  </si>
  <si>
    <t>Diesel</t>
  </si>
  <si>
    <t>heavy fuel</t>
  </si>
  <si>
    <t>http://www.annualreports.com/HostedData/AnnualReportArchive/g/NYSE_GFI_2009.pdf</t>
  </si>
  <si>
    <t>https://www.sec.gov/Archives/edgar/data/756894/000119312516518731/d139103dex994.htm</t>
  </si>
  <si>
    <t>https://www.sec.gov/Archives/edgar/data/1172724/000119312510272998/d20f.htm#tx113641_41</t>
  </si>
  <si>
    <t>Gold and Silver Streaming Agreement</t>
  </si>
  <si>
    <t>https://www.goldfields.com/pdf/sustainbility/sustainability-reporting/gri-sustainability-report/gri-sustainability-report-for-the-period-ending-30-june-2010.pdf</t>
  </si>
  <si>
    <t>value 565???</t>
  </si>
  <si>
    <t>Average
Price</t>
  </si>
  <si>
    <t>% of
Expected
Exposure</t>
  </si>
  <si>
    <t>Impact of $10
change on Pre-
tax Earnings
(USD millions)1</t>
  </si>
  <si>
    <r>
      <t xml:space="preserve">On September 29, 2015, we closed a gold and silver streaming transaction with Royal Gold, Inc. (“Royal Gold”) for production linked to Barrick’s 60 percent interest in the Pueblo Viejo mine. Royal Gold made an upfront cash payment of $610 million and will continue to make cash payments for gold and silver delivered under the agreement. The </t>
    </r>
    <r>
      <rPr>
        <sz val="10"/>
        <color rgb="FFFF0000"/>
        <rFont val="Arial"/>
        <family val="2"/>
      </rPr>
      <t>$610 million upfront payment</t>
    </r>
    <r>
      <rPr>
        <sz val="10"/>
        <color rgb="FF000000"/>
        <rFont val="Arial"/>
      </rPr>
      <t xml:space="preserve"> is not repayable and Barrick is obligated to deliver gold and silver based on Pueblo Viejo’s production. We have accounted for the upfront payment as deferred revenue and will recognize it in earnings, along with the ongoing cash payments, as the gold and silver is delivered to Royal Gold. We will also be recording accretion expense on the deferred revenue balance as the time value of the upfront deposit represents a significant component of the transaction.</t>
    </r>
  </si>
  <si>
    <t>https://www.sec.gov/Archives/edgar/data/1172724/000119312510272998/d20f.htm</t>
  </si>
  <si>
    <t>https://www.sec.gov/Archives/edgar/data/1172724/000119312512175945/d223024d20f.htm</t>
  </si>
  <si>
    <t>Under the terms of the agreement, Barrick will sell gold and silver to Royal Gold equivalent to:</t>
  </si>
  <si>
    <t>●</t>
  </si>
  <si>
    <t>https://www.goldfields.com/pdf/sustainbility/sustainability-reporting/carbon-submissions/cdp-submission/cdp-submission-2011.pdf</t>
  </si>
  <si>
    <t>7.5 percent of Barrick’s interest in the gold produced at Pueblo Viejo until 990,000 ounces of gold have been delivered, and 3.75 percent thereafter.</t>
  </si>
  <si>
    <t>75 percent of Barrick’s interest in the silver produced at Pueblo Viejo until 50 million ounces have been delivered, and 37.5 percent thereafter. Silver will be delivered based on a fixed recovery rate of 70 percent. Silver above this recovery rate is not subject to the stream.</t>
  </si>
  <si>
    <t>Barrick will receive ongoing cash payments from Royal Gold equivalent to 30 percent of the prevailing spot prices for the first 550,000 ounces of gold and 23.1 million ounces of silver delivered. Thereafter payments will double to 60 percent of prevailing spot prices for each subsequent ounce of gold and silver delivered. Ongoing cash payments to Barrick are tied to prevailing spot prices rather than fixed in advance, maintaining exposure to higher gold and silver prices in the future.</t>
  </si>
  <si>
    <t>Barrels (thousands)</t>
  </si>
  <si>
    <t>Average Price</t>
  </si>
  <si>
    <t>% of Expected Exposure</t>
  </si>
  <si>
    <t>Impact of $10
change on
Realized Loss
(USD millions)1</t>
  </si>
  <si>
    <t>diesel 44%</t>
  </si>
  <si>
    <t>https://www.sec.gov/Archives/edgar/data/1172724/000119312513219018/d425611d20f.htm</t>
  </si>
  <si>
    <t>https://www.goldfields.com/pdf/sustainbility/sustainability-reporting/carbon-submissions/cdp-submission/cdp-submission-2012.pdf</t>
  </si>
  <si>
    <t>On average we consume approximately 5 million barrels of diesel fuel annually across all our mines.</t>
  </si>
  <si>
    <t>https://www.sec.gov/Archives/edgar/data/1172724/000119312514159410/d646278d20f.htm</t>
  </si>
  <si>
    <t>Gold production for 2013 was 7.17 million ounces</t>
  </si>
  <si>
    <t>Barrels1
(thousands)</t>
  </si>
  <si>
    <t>https://www.goldfields.com/pdf/sustainbility/sustainability-reporting/carbon-submissions/cdp-submission/cdp-submission-2013.pdf</t>
  </si>
  <si>
    <t>% of Expected
Exposure</t>
  </si>
  <si>
    <t>giga joules</t>
  </si>
  <si>
    <t>46% diesel</t>
  </si>
  <si>
    <t>https://www.sec.gov/Archives/edgar/data/1172724/000119312514159410/d646278d20f.htm#rom646278_12</t>
  </si>
  <si>
    <t>On February 18, 2013, Gold Fields completed the separation of its wholly-owned subsidiary, Sibanye Gold (formerly known as GFI Mining South Africa, or GFIMSA), which includes the KDC and Beatrix mining operations. The Spin-off was achieved by way of Gold Fields making a distribution on a pro rata basis of one Sibanye Gold ordinary share for every one Gold Fields share (whether held in the form of shares, American depositary receipts, or ADRs, or international depositary receipts) to Gold Fields shareholders, registered as such in Gold Fields’ register at close of business on February 15, 2013, in terms of section 46 of the South African Companies Act and section 46 of the South African Income Tax Act. The Board of Gold Fields passed the resolution necessary to implement the Spin-off on December 12, 2012. Sibanye Gold shares listed on the JSE, and on the NYSE on February 11, 2013. As of February 18, 2013, or the Spin-off Date, Gold Fields and Sibanye Gold were independent, publicly traded companies with separate public ownership, boards of directors and management. Refer note 9.1.</t>
  </si>
  <si>
    <t>silver sold</t>
  </si>
  <si>
    <t>copper sold</t>
  </si>
  <si>
    <t>https://www.sec.gov/Archives/edgar/data/1172724/000119312515129431/d836948d20f.htm</t>
  </si>
  <si>
    <t>op expenses</t>
  </si>
  <si>
    <t>https://www.goldfields.com/pdf/sustainbility/sustainability-reporting/carbon-submissions/cdp-submission/cdp-submission-2014.pdf</t>
  </si>
  <si>
    <t>(discussion)</t>
  </si>
  <si>
    <t>https://www.sec.gov/Archives/edgar/data/1172724/000119312515129431/d836948d20f.htm#rom836948_14</t>
  </si>
  <si>
    <t>We expect 2014 gold production to be about 6.0 to 6.5 million ounces.</t>
  </si>
  <si>
    <t>The Mesquite mine is forecast to produce 145,000 to 155,000 ounces of gold in 2010</t>
  </si>
  <si>
    <t>Cerro San Pedro is forecast to produce 95,000 to 105,000 ounces of gold</t>
  </si>
  <si>
    <t>(annual)</t>
  </si>
  <si>
    <t>Peak Mines is forecast to produce 90,000 to 100,000 ounces of gold</t>
  </si>
  <si>
    <t>fin statement search derivative instruments</t>
  </si>
  <si>
    <t>At December 31, 2009, the Company had remaining gold forward sales contracts for 330,000 ounces of gold at a price of $801 per ounce at a remaining commitment of 5,500 ounces per month for 60 months.</t>
  </si>
  <si>
    <t>https://www.sec.gov/Archives/edgar/data/1172724/000119312516539436/d10119d20f.htm</t>
  </si>
  <si>
    <t>gold hedge</t>
  </si>
  <si>
    <t>https://www.goldfields.com/pdf/sustainbility/sustainability-reporting/carbon-submissions/cdp-submission/cdp-submission-2015.pdf</t>
  </si>
  <si>
    <t>At December 31, 2009, the Company had a remaining commitment of 3.0 million gallons of diesel over the next 12 months.</t>
  </si>
  <si>
    <t>Gold production for 2012 was 7.4 million ounces</t>
  </si>
  <si>
    <t>oil hedge</t>
  </si>
  <si>
    <t>In 2012, Barrick’s direct energy consumption was 51.3 million gigajoules.</t>
  </si>
  <si>
    <t>Barrels1 (thousands)</t>
  </si>
  <si>
    <t>liters</t>
  </si>
  <si>
    <t>52.3% on diesel</t>
  </si>
  <si>
    <t>https://www.sec.gov/Archives/edgar/data/1172724/000119312516539436/d10119d20f.htm#rom10119_14</t>
  </si>
  <si>
    <t>https://www.sec.gov/Archives/edgar/data/1172724/000119312517111492/d304882d20f.htm</t>
  </si>
  <si>
    <t>Financial Fuel Hedge Summary</t>
  </si>
  <si>
    <t>https://www.goldfields.com/pdf/sustainbility/sustainability-reporting/carbon-submissions/cdp-submission/cdp-submission-2016.pdf</t>
  </si>
  <si>
    <t>We expect 2013 gold production to be about 7.0 to 7.4 million ounces</t>
  </si>
  <si>
    <t>https://www.sec.gov/Archives/edgar/data/1172724/000119312518107118/d529310d20f.htm</t>
  </si>
  <si>
    <t>https://www.goldfields.com/pdf/sustainbility/sustainability-reporting/carbon-submissions/cdp-submission/cdp-submission-2017.pdf</t>
  </si>
  <si>
    <t>Barrick</t>
  </si>
  <si>
    <t>Electricity 21.3 Diesel 51.8 Gasoline 0.5 Propane 5.6 Natural Gas 18.0 Energy Profile 2011 (Percent) Other types 3.0</t>
  </si>
  <si>
    <t>v</t>
  </si>
  <si>
    <t>gallons used in 2011</t>
  </si>
  <si>
    <t>In 2011, Barrick’s gold production was 7.68 million ounces</t>
  </si>
  <si>
    <t>Barrick’s 2012 gold production is targeted at approximately 7.3 to 7.8 million ounces</t>
  </si>
  <si>
    <t>https://www.sec.gov/Archives/edgar/data/756894/000119312512137603/d320681dex991.htm</t>
  </si>
  <si>
    <t>hedge (barrels in 1000)</t>
  </si>
  <si>
    <t>Diesel contracts (thousands of barrels)2</t>
  </si>
  <si>
    <t>silver</t>
  </si>
  <si>
    <t>copper</t>
  </si>
  <si>
    <t>380,000 – 400,000</t>
  </si>
  <si>
    <t>https://thevault.exchange/?get_group_doc=143/1502780605-Sustainabilityreport2009.pdf</t>
  </si>
  <si>
    <t>tot</t>
  </si>
  <si>
    <t>In 2010, Barrick produced 7.77 million ounces of gold</t>
  </si>
  <si>
    <t>At December 31, 2010 the Company had remaining gold forward sales contracts for 264,000 ounces of gold at a price of $801 per ounce at a remaining commitment of 5,500 ounces per month for 48 months.</t>
  </si>
  <si>
    <t>https://www.sec.gov/Archives/edgar/data/1067428/000120561310000058/aga_combined.htm</t>
  </si>
  <si>
    <t>ounces</t>
  </si>
  <si>
    <t>During 2010 we received cash payments of $137.5 million</t>
  </si>
  <si>
    <t>%</t>
  </si>
  <si>
    <t>https://www.sec.gov/Archives/edgar/data/756894/000110465911017950/a10-24327_1ex99d1.htm</t>
  </si>
  <si>
    <t>Net delta hedging position calculations</t>
  </si>
  <si>
    <t>In 2010, Barrick’s direct energy consumption at our operations, joint ventures where we are the operator, and other sites and offices was 38.7 million gigajoules.</t>
  </si>
  <si>
    <t>https://thevault.exchange/?get_group_doc=143/1502780698-Sustainabilityreport2010.pdf</t>
  </si>
  <si>
    <t>48% diesel</t>
  </si>
  <si>
    <t>5% gasoline</t>
  </si>
  <si>
    <t>https://www.sec.gov/Archives/edgar/data/1067428/000095012311055267/w82698e20vf.htm#W82698112</t>
  </si>
  <si>
    <t>eliminated hedge book</t>
  </si>
  <si>
    <t>405-445</t>
  </si>
  <si>
    <t>We expect 2011 gold production to be about 7.6 to 8.0 million ounces</t>
  </si>
  <si>
    <t>https://www.sec.gov/Archives/edgar/data/756894/000110465911017950/a10-24327_1ex99d4.htm</t>
  </si>
  <si>
    <t>At December 31, 2011, the Company had remaining gold forward sales contracts for 198,000 ounces of gold at a price of $801 per ounce at a remaining commitment of 5,500 ounces per month for 36 months.</t>
  </si>
  <si>
    <t>gold hedg</t>
  </si>
  <si>
    <t>Barrels(1)</t>
  </si>
  <si>
    <t>https://thevault.exchange/?get_group_doc=143/1502781103-Sustainabilityreport2011.pdf</t>
  </si>
  <si>
    <t>% of Expected</t>
  </si>
  <si>
    <t>(thousands)</t>
  </si>
  <si>
    <t>Exposure</t>
  </si>
  <si>
    <t>https://www.sec.gov/Archives/edgar/data/1067428/000119312512174757/d330356d20f.htm</t>
  </si>
  <si>
    <t>440-480</t>
  </si>
  <si>
    <t>At December 31, 2012, the Company had gold forward sales contracts for 132,000 ounces of gold at a price of $801 per ounce at a remaining commitment of 5,500 ounces per month for 24 months</t>
  </si>
  <si>
    <t>copper swaps</t>
  </si>
  <si>
    <t>https://thevault.exchange/?get_group_doc=143/1502781132-Sustainabilityreport2012.pdf</t>
  </si>
  <si>
    <t>https://www.sec.gov/Archives/edgar/data/1067428/000119312513175850/d508552d20f.htm</t>
  </si>
  <si>
    <t>ex</t>
  </si>
  <si>
    <t>380 - 420</t>
  </si>
  <si>
    <t>https://thevault.exchange/?get_group_doc=143/1502781803-CDPSubmission2013.pdf</t>
  </si>
  <si>
    <t>Silver Wheaton Corp</t>
  </si>
  <si>
    <t>Diesel contracts (thousands of barrels)(2)</t>
  </si>
  <si>
    <t>settled all gold contracts</t>
  </si>
  <si>
    <t>https://www.sec.gov/Archives/edgar/data/1067428/000119312514141938/d709051d20f.htm</t>
  </si>
  <si>
    <t>order to mitigate this volatility, we employ a strategy of combining the use of financial contracts and our production from Barrick Energy to effectively hedge our exposure to high oil prices. We currently have financial contracts in place totaling 4.2 million barrels, which represents 60% of our total estimated direct consumption in 2010 and 16% of our total estimated direct consumption over the following three years. Those contracts are primarily designated for our Nevada-based mines, and have an average price of $90 per barrel. In 2009, we recorded hedge losses in earnings of approximately $97 million on our fuel hedge positions (2008: $33 million gain; 2007: $29 million gain). Assuming market rates at the December 31st level of $79 per barrel, we expect to realize opportunity losses of approximately $30 million in 2010 from our financial contracts.</t>
  </si>
  <si>
    <t>https://thevault.exchange/?get_group_doc=143/1502781831-CDPSubmission2014.pdf</t>
  </si>
  <si>
    <t>731,900 cubic meters of diesel</t>
  </si>
  <si>
    <t>https://barrick.q4cdn.com/788666289/files/responsibility/report/Barrick-2009-Responsibility-Report.pdf</t>
  </si>
  <si>
    <t>390 - 430</t>
  </si>
  <si>
    <t>https://www.sec.gov/Archives/edgar/data/1067428/000119312515116866/d899935d20f.htm</t>
  </si>
  <si>
    <t xml:space="preserve">copper swap contracts </t>
  </si>
  <si>
    <t>in sustainability report</t>
  </si>
  <si>
    <t>We expect 2010 gold production to increase from its 2009 level of 7.4 million ounces to about 7.6 to 8.0 million ounces</t>
  </si>
  <si>
    <t>https://www.sec.gov/Archives/edgar/data/756894/000110465910017012/a10-4461_1ex99d4.htm</t>
  </si>
  <si>
    <t>https://thevault.exchange/?get_group_doc=143/1502781859-CDPSubmission2015.pdf</t>
  </si>
  <si>
    <t>in man. dis.</t>
  </si>
  <si>
    <t>360 - 400</t>
  </si>
  <si>
    <t>As at December 31, 2015, the company is contractually obligated to settle four million gallons of diesel associated with these swaps</t>
  </si>
  <si>
    <t>During August 2015, the Company entered into additional diesel swap contracts which will hedge the diesel price exposure of an additional 19% for the period January to December 2016 and 53% for the period January 2017 to June 2017, at approximately $2.00 per gallon fully loaded price. As at December 31, 2015, the company is contractually obligated to settle 3.6 million gallons of diesel associated with these swaps.</t>
  </si>
  <si>
    <t xml:space="preserve">total </t>
  </si>
  <si>
    <t>gold stream 4% of el morro</t>
  </si>
  <si>
    <t>discussion</t>
  </si>
  <si>
    <t>https://thevault.exchange/?get_group_doc=143/1502781885-CDPSubmissison2016.pdf</t>
  </si>
  <si>
    <t>On July 20, 2015, the Company entered into a $175.0 million streaming agreement with Royal Gold. Under the terms of the agreement, the Company agreed to deliver to Royal Gold 6.5% of gold production from the Rainy River project up to a total of 230,000 ounces of gold and then 3.25% of the project’s gold production thereafter. The Company will also deliver to Royal Gold 60% of the project’s silver production to a maximum of 3.1 million ounces and then 30% of silver production thereafter. In consideration, Royal Gold paid $100.0 million concurrent with entering into the agreement and the remaining $75.0 million will be paid when 60% of the estimated project development capital has been spent, which is expected to be in mid-2016, and other customary conditions precedent have been met</t>
  </si>
  <si>
    <t>balance at year end</t>
  </si>
  <si>
    <t xml:space="preserve">net </t>
  </si>
  <si>
    <t>https://www.sec.gov/Archives/edgar/data/1067428/000119312517105480/d368386d20f.htm</t>
  </si>
  <si>
    <t>380 - 430</t>
  </si>
  <si>
    <t>https://thevault.exchange/?get_group_doc=143/1502781983-CDPSubmission2017.pdf</t>
  </si>
  <si>
    <t>As at December 31, 2016, the Company is contractually obligated to settle 2.0 million gallons of diesel associated with these swaps.</t>
  </si>
  <si>
    <t>https://www.sec.gov/Archives/edgar/data/1067428/000162828018003806/au-311217x20f.htm</t>
  </si>
  <si>
    <t>GOLDEN STAR RESOURCES LTD</t>
  </si>
  <si>
    <t>GSS</t>
  </si>
  <si>
    <t>Quantity
outstanding</t>
  </si>
  <si>
    <t>Remaining term</t>
  </si>
  <si>
    <t>Exercise
price ($)</t>
  </si>
  <si>
    <t>Fair value - asset
(liability) (1)</t>
  </si>
  <si>
    <t>GOLD OPTION CONTRACTS OUTSTANDING</t>
  </si>
  <si>
    <t>Gold call contracts - sold</t>
  </si>
  <si>
    <t>120,000 oz</t>
  </si>
  <si>
    <t>January – June 2017</t>
  </si>
  <si>
    <t>Gold put contracts - purchased</t>
  </si>
  <si>
    <t>NOVAGOLD RESOURCES LTD</t>
  </si>
  <si>
    <t>NG</t>
  </si>
  <si>
    <t>fair value gold stream obligation</t>
  </si>
  <si>
    <t>gold stream asset</t>
  </si>
  <si>
    <t>expenses</t>
  </si>
  <si>
    <t xml:space="preserve">Energy usage </t>
  </si>
  <si>
    <t>PAN AMERICAN SILVER CORP</t>
  </si>
  <si>
    <t>525 - 595</t>
  </si>
  <si>
    <t>million GJ</t>
  </si>
  <si>
    <t>PAAS</t>
  </si>
  <si>
    <t>2009 full year production of 4,599,000 ounces.</t>
  </si>
  <si>
    <t>Several by-products are recovered as a result of the processing of gold Ore Reserves. These include 37.3 million</t>
  </si>
  <si>
    <t>pounds of uranium oxide from the South African operations, 0.45 million tonnes of sulfur from Brazil and 34.9 million</t>
  </si>
  <si>
    <t xml:space="preserve">diesel </t>
  </si>
  <si>
    <t>Production costs (million US dollars) 2,229</t>
  </si>
  <si>
    <t>ounces of silver from Argentina. Details of by-product Mineral Resources and Ore Reserves are given in the Mineral</t>
  </si>
  <si>
    <t>% of total</t>
  </si>
  <si>
    <t>no fuel or gold hedges</t>
  </si>
  <si>
    <t>copper hedges</t>
  </si>
  <si>
    <t>gold stream obligation</t>
  </si>
  <si>
    <t>disposed of el morro stream</t>
  </si>
  <si>
    <t>Resource and Ore Reserve Report 2009, which is available on the corporate website</t>
  </si>
  <si>
    <t>Outlook. Gold production for 2010 is forecast to be between 4.5 million and 4.7 million ounces subject to stability and availability of power in South Africa and other factors.</t>
  </si>
  <si>
    <t>uranium</t>
  </si>
  <si>
    <t>pounds</t>
  </si>
  <si>
    <t>SILVERCREST METALS INC</t>
  </si>
  <si>
    <t>SILV</t>
  </si>
  <si>
    <t>Net delta position</t>
  </si>
  <si>
    <t>sulfyr</t>
  </si>
  <si>
    <t>tons</t>
  </si>
  <si>
    <t xml:space="preserve">kilo </t>
  </si>
  <si>
    <t>As of December 31, 2009, the hedge book reflected a net delta tonnage position of 3.49 million ounces (108 tonnes) out of a committed position of 3.90 million ounces (121 tonnes).</t>
  </si>
  <si>
    <t>hedged copper output</t>
  </si>
  <si>
    <t>next years production hedged</t>
  </si>
  <si>
    <t>energy use</t>
  </si>
  <si>
    <t>30.6 million GJ</t>
  </si>
  <si>
    <t>e, while our diesel fuel consumption increased by 8%</t>
  </si>
  <si>
    <t>As of the end of fiscal 2009, Gold Fields had outstanding commodity price hedging contracts, totaling 51 million outstanding liters for Gold Fields Ghana and 22.5 million liters for Gold Fields Australia (Pty) Ltd, with a final expiry at the end February 2010 for both sets of contracts.</t>
  </si>
  <si>
    <t>https://thevault.exchange/?get_group_doc=143/1502781678-CDPSubmission2010.pdf</t>
  </si>
  <si>
    <t>delta???</t>
  </si>
  <si>
    <t>http://www.annualreports.com/HostedData/AnnualReportArchive/e/AMEX_EGO_2009.pdf</t>
  </si>
  <si>
    <t>estimated diesel and heavy fuel:</t>
  </si>
  <si>
    <t>MWh</t>
  </si>
  <si>
    <t>terra joule diesel</t>
  </si>
  <si>
    <t>Outlook: Gold production for 2011 is forecast to be between 4.55 million and 4.75 million ounces</t>
  </si>
  <si>
    <t>red numbers estimated based on gold production growth</t>
  </si>
  <si>
    <t>destillate fuel no. 6</t>
  </si>
  <si>
    <t>925,000 and 950,000 ounces of gold per quarter during fiscal 2010</t>
  </si>
  <si>
    <t>uranium prod</t>
  </si>
  <si>
    <t>http://www.annualreports.com/HostedData/AnnualReportArchive/e/AMEX_EGO_2010.pdf</t>
  </si>
  <si>
    <t>search total operations</t>
  </si>
  <si>
    <t>4 837.85</t>
  </si>
  <si>
    <t>TJ</t>
  </si>
  <si>
    <t>total attributable gold production (thousand ounces)</t>
  </si>
  <si>
    <t>4.0%, in total equivalent gold sold,</t>
  </si>
  <si>
    <t>As at December 31, 2010 the Company had no outstanding commitments against future production as a result of the elimination of the hedge book. As of December 31, 2009, the hedge book reflected a net delta tonnage position of 3.49 million ounces (108 tonnes) out of a committed position of 3.90 million ounces (121 tonnes)</t>
  </si>
  <si>
    <t>view to producing between 3.5 and 3.8 million attributable gold equivalent</t>
  </si>
  <si>
    <t>metal sales</t>
  </si>
  <si>
    <t xml:space="preserve">no hedging </t>
  </si>
  <si>
    <t>in anual report</t>
  </si>
  <si>
    <t>http://www.annualreports.com/HostedData/AnnualReportArchive/e/AMEX_EGO_2011.pdf</t>
  </si>
  <si>
    <t>Our energy consumption has remained stable at 30.5 million GJ in 2011,</t>
  </si>
  <si>
    <t>Total attributable gold production (thousand ounces)</t>
  </si>
  <si>
    <t>https://thevault.exchange/?get_group_doc=143/1502781716-CDPSubmission2011.pdf</t>
  </si>
  <si>
    <t>Total production costs(2)</t>
  </si>
  <si>
    <t>Gold production for the fiscal year ending December 31, 2012 is forecast between 3.5 million attributable equivalent ounces and 3.7 million attributable equivalent ounces.</t>
  </si>
  <si>
    <t>search outlook</t>
  </si>
  <si>
    <t>As of December 31, 2011, Gold Fields had no outstanding commodity price contracts</t>
  </si>
  <si>
    <t>http://www.annualreports.com/HostedData/AnnualReportArchive/e/AMEX_EGO_2012.pdf</t>
  </si>
  <si>
    <r>
      <rPr>
        <sz val="10"/>
        <color rgb="FFFF0000"/>
        <rFont val="Arial"/>
        <family val="2"/>
      </rPr>
      <t>3.6%,</t>
    </r>
    <r>
      <rPr>
        <sz val="10"/>
        <color rgb="FF000000"/>
        <rFont val="Arial"/>
      </rPr>
      <t xml:space="preserve"> in total equivalent gold sold</t>
    </r>
  </si>
  <si>
    <t>Gold production for 2012 is forecast to be between 4.3 million and 4.4 million ounces</t>
  </si>
  <si>
    <t>Results of Operations</t>
  </si>
  <si>
    <t>As of December 31, 2011, Gold Fields had no outstanding commodity price contracts.</t>
  </si>
  <si>
    <t>Years Ended December 31, 2011 and June 30, 2010</t>
  </si>
  <si>
    <t>Revenues</t>
  </si>
  <si>
    <t>non gold see 2014</t>
  </si>
  <si>
    <t>https://s2.q4cdn.com/536453762/files/doc_downloads/2013-ELD-Sustainability-Report.PDF</t>
  </si>
  <si>
    <t>https://thevault.exchange/?get_group_doc=143/1502781735-CDPSubmission2012.pdf</t>
  </si>
  <si>
    <t>ton</t>
  </si>
  <si>
    <t>https://www.sec.gov/Archives/edgar/data/918608/000113717114000057/fins.htm</t>
  </si>
  <si>
    <t>avg price</t>
  </si>
  <si>
    <t>Fuels MWh</t>
  </si>
  <si>
    <t>Aviation gasoline 600</t>
  </si>
  <si>
    <t>Brown coal 115400</t>
  </si>
  <si>
    <t>Diesel/Gas oil 3294850</t>
  </si>
  <si>
    <t>copper rev</t>
  </si>
  <si>
    <t>Liquefied petroleum gas (LPG) 3250</t>
  </si>
  <si>
    <t>Motor gasoline 12850</t>
  </si>
  <si>
    <t>https://s2.q4cdn.com/536453762/files/doc_downloads/Eldorado_CSR-2014_WEB.PDF</t>
  </si>
  <si>
    <t>Natural gas 531400</t>
  </si>
  <si>
    <t>(under total operations)</t>
  </si>
  <si>
    <t>Waste oils 2550</t>
  </si>
  <si>
    <t>is expected to be between 2.010 million attributable equivalent ounces and 2.085 million attributable equivalent ounces</t>
  </si>
  <si>
    <t>Distillate fuel oil No 6 504700</t>
  </si>
  <si>
    <t>otal production costs(2)</t>
  </si>
  <si>
    <t>http://www.annualreports.com/HostedData/AnnualReportArchive/e/AMEX_EGO_2014.pdf</t>
  </si>
  <si>
    <t>Australian diesel hedge—20,000 barrels with a mark-to-market value of $0.1 million.</t>
  </si>
  <si>
    <t>(3,964</t>
  </si>
  <si>
    <t>no metal hedges</t>
  </si>
  <si>
    <t>)</t>
  </si>
  <si>
    <t>Gold production for 2013 is forecast to be between 4.1 million and 4.4 million ounces</t>
  </si>
  <si>
    <t>(4,146</t>
  </si>
  <si>
    <t>http://www.annualreports.com/HostedData/AnnualReportArchive/e/AMEX_EGO_2015.pdf</t>
  </si>
  <si>
    <t>see 2014</t>
  </si>
  <si>
    <t>Gold production for 2014 is forecast to be between 4.2 million and 4.5 million ounces</t>
  </si>
  <si>
    <t>old produced (‘000 oz)(2)</t>
  </si>
  <si>
    <t>http://www.annualreports.com/HostedData/AnnualReports/PDF/AMEX_EGO_2016.pdf</t>
  </si>
  <si>
    <t>Results of operations ($ million)</t>
  </si>
  <si>
    <t>https://www.sec.gov/Archives/edgar/data/918608/000113717117000034/fins.htm</t>
  </si>
  <si>
    <t>Total production costs(3)</t>
  </si>
  <si>
    <r>
      <t xml:space="preserve">old production for the fiscal year ending December 31, 2014 is expected to be approximately </t>
    </r>
    <r>
      <rPr>
        <sz val="10"/>
        <color rgb="FFFF0000"/>
        <rFont val="Arial"/>
        <family val="2"/>
      </rPr>
      <t>2.2 million</t>
    </r>
    <r>
      <rPr>
        <sz val="10"/>
        <color rgb="FF000000"/>
        <rFont val="Arial"/>
      </rPr>
      <t xml:space="preserve"> attributable equivalent ounces.</t>
    </r>
  </si>
  <si>
    <t>Australian diesel hedge—30,000 barrels with a mark-to-market value of $0.3 million</t>
  </si>
  <si>
    <t>(3,972</t>
  </si>
  <si>
    <t>https://s2.q4cdn.com/536453762/files/doc_downloads/sustainability_report/0222_YIR_WEB-(1).pdf</t>
  </si>
  <si>
    <t>Gold production for 2015 is forecast to be between 4.0 million and 4.3 million ounces</t>
  </si>
  <si>
    <t>https://www.sec.gov/Archives/edgar/data/918608/000119312518102194/d452534dex992.htm</t>
  </si>
  <si>
    <t>REVENUE</t>
  </si>
  <si>
    <t>Revenue consists of the following principal categories:</t>
  </si>
  <si>
    <t>SSR MINING INC</t>
  </si>
  <si>
    <t>SSRM</t>
  </si>
  <si>
    <t>Gold income (note 2)</t>
  </si>
  <si>
    <t>By-products (note 4)</t>
  </si>
  <si>
    <t>- silver income</t>
  </si>
  <si>
    <t>Production</t>
  </si>
  <si>
    <t>Tonnes (‘000)</t>
  </si>
  <si>
    <t>TANZANIAN ROYALTY EXPLOR CP</t>
  </si>
  <si>
    <t>TRX</t>
  </si>
  <si>
    <t>- uranium income</t>
  </si>
  <si>
    <t>- sulphuric acid income</t>
  </si>
  <si>
    <t>Recovered grade (g/t)</t>
  </si>
  <si>
    <t>- other</t>
  </si>
  <si>
    <t>Gold produced (‘000 oz)(2)</t>
  </si>
  <si>
    <t>Gold production for the fiscal year ending December 31, 2015 is expected to be approximately 2.2 million attributable equivalent ounces.</t>
  </si>
  <si>
    <t>•</t>
  </si>
  <si>
    <t>Australian diesel hedge—430,500 barrels with a negative fair value of $10.3 million</t>
  </si>
  <si>
    <t>no metals contracts</t>
  </si>
  <si>
    <t>non-gold</t>
  </si>
  <si>
    <t>Total attributable gold production (thousand ounces)(1)</t>
  </si>
  <si>
    <t>Gold production for the fiscal year ending December 31, 2016 is expected to be between 2.05 million attributable equivalent ounces and 2.10 attributable equivalent ounces</t>
  </si>
  <si>
    <t>Gold production for 2016 is forecast to be between 3.6 million and 3.8 million ounces</t>
  </si>
  <si>
    <t>(3,294</t>
  </si>
  <si>
    <t>The following contract was outstanding as of December 31, 2015:</t>
  </si>
  <si>
    <t>Revenue</t>
  </si>
  <si>
    <t>Australian diesel hedge—31,500 barrels with a negative fair value of U.S.$1.5 million</t>
  </si>
  <si>
    <t>https://s22.q4cdn.com/899716706/files/doc_downloads/CSR/Yamana_CSR_43.pdf</t>
  </si>
  <si>
    <t>https://www.sec.gov/Archives/edgar/data/1264089/000110465910017817/a10-5037_2ex99d3.htm</t>
  </si>
  <si>
    <t>Gold production (including joint ventures) for 2017 is forecast to be between 3.60 million and 3.75 million ounces</t>
  </si>
  <si>
    <t>(3,263</t>
  </si>
  <si>
    <t>operating cost</t>
  </si>
  <si>
    <t>By-products (notes 2 and 4)</t>
  </si>
  <si>
    <t>Our production guidance for the year is 2.10 – 2.15 million attributable ounces,</t>
  </si>
  <si>
    <t>https://www.sec.gov/Archives/edgar/data/1264089/000110465911018151/a11-6607_3ex99d2.htm</t>
  </si>
  <si>
    <t>copper million lb</t>
  </si>
  <si>
    <t>no hedging</t>
  </si>
  <si>
    <t>average price</t>
  </si>
  <si>
    <t>us ton</t>
  </si>
  <si>
    <t>https://www.sec.gov/Archives/edgar/data/1264089/000110465911018151/a11-6607_3ex99d3.htm</t>
  </si>
  <si>
    <t>copper revenue</t>
  </si>
  <si>
    <t>For the year ended 31 December 2017, AngloGold Ashanti’s total attributable gold production of 3.76 million ounces</t>
  </si>
  <si>
    <t>Gold production (including our attributable share of joint ventures) for 2018 is forecast to be between 3.325 million and 3.450 million ounces</t>
  </si>
  <si>
    <t>Cost of sales</t>
  </si>
  <si>
    <t>(3,582</t>
  </si>
  <si>
    <t>revenue</t>
  </si>
  <si>
    <t>https://s22.q4cdn.com/899716706/files/doc_downloads/CSR/2012-Yamana-CSR-E-06-09-12.pdf</t>
  </si>
  <si>
    <t>(3,947</t>
  </si>
  <si>
    <t>https://www.sec.gov/Archives/edgar/data/1264089/000110465912022894/a12-5402_3ex99d3.htm</t>
  </si>
  <si>
    <t>By-products (note 2 and 4)</t>
  </si>
  <si>
    <t>net delta pos</t>
  </si>
  <si>
    <t>https://s22.q4cdn.com/899716706/files/doc_downloads/CSR/2012-Yamana-CSR-EN-28-08-13.pdf</t>
  </si>
  <si>
    <t>Our production guidance for the year is 2.08Moz – 2.10Moz</t>
  </si>
  <si>
    <t>gold</t>
  </si>
  <si>
    <t>6,765TJ</t>
  </si>
  <si>
    <t>South Africa: 64koz (20% of 2018 gold production guidance) hedged for the period January to December 2018 using zero-cost collars with an average floor price of R600,000/kg and an average cap price of R665,621/kg</t>
  </si>
  <si>
    <t>copper hedge</t>
  </si>
  <si>
    <t>https://www.exchange-rates.org/Rate/USD/ZAR/12-28-2017</t>
  </si>
  <si>
    <t xml:space="preserve">zar usd </t>
  </si>
  <si>
    <t>https://s22.q4cdn.com/899716706/files/doc_downloads/2013-Yamana-CSR-EN-27-08-14.pdf</t>
  </si>
  <si>
    <t>per ounce</t>
  </si>
  <si>
    <t>https://www.sec.gov/Archives/edgar/data/1264089/000126408914000007/ex9932013fs.htm</t>
  </si>
  <si>
    <t>https://www.treasury.gov/resource-center/data-chart-center/interest-rates/Pages/TextView.aspx?data=yieldYear&amp;year=2017</t>
  </si>
  <si>
    <t>1 kilo</t>
  </si>
  <si>
    <t>https://s22.q4cdn.com/899716706/files/doc_downloads/CSR/2014/2014-Yamana-CSR-EN.pdf</t>
  </si>
  <si>
    <t>https://www.sec.gov/Archives/edgar/data/1264089/000126408915000005/ex9932014fs.htm</t>
  </si>
  <si>
    <t>We use large quantities of diesel, principally in our truck and heavy equipment fleets. The total volume of diesel consumed in 2009 was 169,600 kilolitres (kL)</t>
  </si>
  <si>
    <t>http://csr.goldcorp.com/2009/6_energy.html</t>
  </si>
  <si>
    <t>oil</t>
  </si>
  <si>
    <t>In May 2017 and June 2017, the Ghanaian operations entered into fixed price ICE Gasoil cash settled swap transactions for a total of 125.8 million litres of diesel for the period June 2017 to December 2019. The average swap price is US$457.2 per metric tonne (equivalent US$61.4 per barrel). At the time of the transactions, the average Brent swap equivalent over the tenor was US$49.8 per barrel. At 31 December 2017, the mark-to-market value on the hedge was a positive US$9.0 million.</t>
  </si>
  <si>
    <t>In May 2017 and June 2017, the Australian operations entered into fixed price Singapore 10ppm Gasoil cash settled swap transactions for a total of 77.5 million litres of diesel for the period June 2017 to December 2019. The average swap price is US$61.15 per barrel. At the time of the transactions, the average Brent swap equivalent over the tenor was US$49.92 per barrel. At 31 December 2017, the mark-to-market value on the hedge was a positive US$5.1 million.</t>
  </si>
  <si>
    <t>We use gasoline in our light vehicle fleet. The total volume of gasoline used in 2009 was 3,770 kL, compared with 3,190 kL in 2008, which is an increase of 18%.</t>
  </si>
  <si>
    <t>https://s22.q4cdn.com/899716706/files/doc_downloads/CSR/2015/2015-Yamana-Material-Issues-Report.pdf</t>
  </si>
  <si>
    <t>Our total direct energy consumption for 2009 was 8,160 TJ</t>
  </si>
  <si>
    <t>kiloliters</t>
  </si>
  <si>
    <t>https://www.sec.gov/Archives/edgar/data/1264089/000126408916000019/ex9932015fs.htm</t>
  </si>
  <si>
    <t>Ghana: 409koz (60% of 2018 gold production guidance) hedged for the period January to December 2018 using zero-cost</t>
  </si>
  <si>
    <t>collars with an average floor price of US$1,300/oz and an average cap price of US$1,409/oz</t>
  </si>
  <si>
    <t>T</t>
  </si>
  <si>
    <t>% used on fuel</t>
  </si>
  <si>
    <t>https://s22.q4cdn.com/899716706/files/doc_downloads/2016-Yamana-CSR-21-06-17-final-for-posting.pdf</t>
  </si>
  <si>
    <t>Australia: 321koz (37% of 2018 gold production guidance) hedged for the period February – December 2018. Of this, 221koz were hedged at an average forward price of A$1,714/oz and 100koz at a floor price of A$1,700/oz and an average cap price of A$1,750/oz</t>
  </si>
  <si>
    <t>2,421,300 ounces for the year</t>
  </si>
  <si>
    <t>https://www.sec.gov/Archives/edgar/data/1264089/000126408917000004/ex9932016fs.htm</t>
  </si>
  <si>
    <t>highlights</t>
  </si>
  <si>
    <t>gold sold</t>
  </si>
  <si>
    <t>The Company expects to produce approximately 2.6 million ounces of gold</t>
  </si>
  <si>
    <t>gold rev</t>
  </si>
  <si>
    <t>foreward</t>
  </si>
  <si>
    <r>
      <t xml:space="preserve">At December 31, 2009, the Company had outstanding forward contracts to purchase </t>
    </r>
    <r>
      <rPr>
        <sz val="10"/>
        <color rgb="FFFF0000"/>
        <rFont val="Arial"/>
        <family val="2"/>
      </rPr>
      <t>1.9 million gallons</t>
    </r>
    <r>
      <rPr>
        <sz val="10"/>
        <color rgb="FF000000"/>
        <rFont val="Arial"/>
      </rPr>
      <t xml:space="preserve"> of heating oil at an average price of $2.01 per gallon that settle between January 1, 2010 and June 30, 2010.</t>
    </r>
  </si>
  <si>
    <t>https://s22.q4cdn.com/899716706/files/doc_downloads/2017/yamana-mir_final-1.pdf</t>
  </si>
  <si>
    <t>derivative instrument fin report</t>
  </si>
  <si>
    <t>copper derivatives</t>
  </si>
  <si>
    <t>segmented infomation fin statement</t>
  </si>
  <si>
    <t>https://www.sec.gov/Archives/edgar/data/1264089/000126408918000005/ex9932017fs.htm</t>
  </si>
  <si>
    <t>The total volume of diesel consumed in 2010 was 186,500 kilolitres</t>
  </si>
  <si>
    <t>We use gasoline in our light vehicle fleet. The total volume of gasoline used in 2010 was 3,870 kL,</t>
  </si>
  <si>
    <t>Our total direct energy consumption for 2010 was 8,350 TJ,</t>
  </si>
  <si>
    <t>on fuel</t>
  </si>
  <si>
    <t>record 2,520,300 ounces for 2010</t>
  </si>
  <si>
    <t>The Company expects to produce between 2.65 and 2.75 million ounces of gold</t>
  </si>
  <si>
    <t>$1,240 per ounc</t>
  </si>
  <si>
    <t>Operating expenses</t>
  </si>
  <si>
    <t>(1,478.4</t>
  </si>
  <si>
    <t>no fuel or gold hedge but many by-product metal hedges</t>
  </si>
  <si>
    <t>see 2015</t>
  </si>
  <si>
    <t>2,514,700 ounces for 2011</t>
  </si>
  <si>
    <t>For 2012, the Company expects to produce approximately 2.6 million ounces of gold</t>
  </si>
  <si>
    <t>http://www.annualreports.com/HostedData/AnnualReportArchive/i/NYSE_IAG_2009.pdf</t>
  </si>
  <si>
    <t>total gallon</t>
  </si>
  <si>
    <t>Business Description</t>
  </si>
  <si>
    <t>Kinross is engaged in gold mining and related activities, including exploration and acquisition of gold-bearing properties</t>
  </si>
  <si>
    <t>has hedged fuel but no info</t>
  </si>
  <si>
    <t>price diesel</t>
  </si>
  <si>
    <t>Kinross also produces and sells a quantity silver.</t>
  </si>
  <si>
    <t xml:space="preserve">no gold hedge </t>
  </si>
  <si>
    <t>Fuel Consumption</t>
  </si>
  <si>
    <t>price gasoline</t>
  </si>
  <si>
    <t>m3</t>
  </si>
  <si>
    <t>nege by product</t>
  </si>
  <si>
    <t>total cost</t>
  </si>
  <si>
    <t>http://www.annualreports.com/HostedData/AnnualReportArchive/i/NYSE_IAG_2010.pdf</t>
  </si>
  <si>
    <t>HEavy Oil</t>
  </si>
  <si>
    <t>Gold</t>
  </si>
  <si>
    <t>Silver</t>
  </si>
  <si>
    <t>Total</t>
  </si>
  <si>
    <t>Copper</t>
  </si>
  <si>
    <t>https://www.sec.gov/Archives/edgar/data/1203464/000119312513124666/d508933dex993.htm</t>
  </si>
  <si>
    <t>Zinc</t>
  </si>
  <si>
    <t>Lead</t>
  </si>
  <si>
    <t>Other</t>
  </si>
  <si>
    <t>https://www.sec.gov/Archives/edgar/data/1203464/000119312514138303/d697139dex992.htm</t>
  </si>
  <si>
    <t>2,396,200 ounces for 2012</t>
  </si>
  <si>
    <t>For 2013, the Company expects to produce between 2.55 and 2.80 million ounces of gold</t>
  </si>
  <si>
    <t>https://www.sec.gov/Archives/edgar/data/1203464/000119312514110217/d697067dex993.htm</t>
  </si>
  <si>
    <t>est</t>
  </si>
  <si>
    <t>hedge by product</t>
  </si>
  <si>
    <t>Diesel Fuel (m3 ) 122,100</t>
  </si>
  <si>
    <t>As at December 31, 2009, the Company had purchased oil forward contracts for 132,000 barrels of Nymex Crude WTI during 2009 at an average price of $72.50 per barrel. The unrealized gain on these contracts at December 31, 2009 was $0.9 million (December 31, 2008 – $10.8 million loss).</t>
  </si>
  <si>
    <t>no info on executive holding but all met minimum requirement (223000)</t>
  </si>
  <si>
    <t>https://www.sec.gov/Archives/edgar/data/1203464/000119312515105051/d892024dex993.htm</t>
  </si>
  <si>
    <t>Silver ounces sold (000)</t>
  </si>
  <si>
    <t>https://www.sec.gov/Archives/edgar/data/1203464/000119312516467295/d144556dex993.htm</t>
  </si>
  <si>
    <t>est non gold</t>
  </si>
  <si>
    <t>(consolidatet results of operations)</t>
  </si>
  <si>
    <t>Gold hedge</t>
  </si>
  <si>
    <t>Attributable gold equivalent ounces produced 2 2,238,665</t>
  </si>
  <si>
    <t>delta pos %</t>
  </si>
  <si>
    <t>https://www.sec.gov/Archives/edgar/data/1203464/000119312517052284/d296263dex993.htm</t>
  </si>
  <si>
    <t>Cost of sales (a) $ 1,047.1</t>
  </si>
  <si>
    <t>In 2010, Kinross expects to produce approximately 2.2 million attributable gold equivalent ounces.</t>
  </si>
  <si>
    <t>(outlook management discussion)</t>
  </si>
  <si>
    <t>Under the terms of the Kupol project loan facilities, the Company is required to maintain gold and silver hedge contracts over the life of the loans in order to cover a portion of the mine's future operating and debt service costs. As a result, and as part of the acquisition of Bema in February 2007, the Company assumed gold and silver forward and option contracts related to the Kupol project as well as contracts relating to Julietta and Maricunga.</t>
  </si>
  <si>
    <t>At December 31, 2009, the derivative contracts were outstanding:</t>
  </si>
  <si>
    <t>2,666,600 ounces for 2013,</t>
  </si>
  <si>
    <t>For 2014, the Company expects to produce between 3.0 and 3.15 million ounces of gold</t>
  </si>
  <si>
    <t>https://www.sec.gov/Archives/edgar/data/1203464/000119312518052173/d489714dex993.htm</t>
  </si>
  <si>
    <t>(ounces in thousands)</t>
  </si>
  <si>
    <t>(1,991</t>
  </si>
  <si>
    <t>GOLDEN MINERALS CO</t>
  </si>
  <si>
    <t>AUMN</t>
  </si>
  <si>
    <t>Metals</t>
  </si>
  <si>
    <t>Gold forward sell contracts (ounces)</t>
  </si>
  <si>
    <t>Average price</t>
  </si>
  <si>
    <t>Gold forward buy contracts (ounces)</t>
  </si>
  <si>
    <t>HARMONY GOLD MINING CO LTD</t>
  </si>
  <si>
    <t>–</t>
  </si>
  <si>
    <t>HMY</t>
  </si>
  <si>
    <t>Silver forward sell contracts (ounces 000's)</t>
  </si>
  <si>
    <t>https://www.harmony.co.za/assets/investors/reporting/annual-reports/2009/files/Harmony_AR09.pdf</t>
  </si>
  <si>
    <t>Silver forward buy contracts (ounces 000's)</t>
  </si>
  <si>
    <t>2,871,200 ounces for 2014,</t>
  </si>
  <si>
    <t>For 2015, the Company expects to produce between 3.3 and 3.6 million ounces of gold</t>
  </si>
  <si>
    <t>Purchased silver put contracts (ounces 000's)</t>
  </si>
  <si>
    <t>(2,079</t>
  </si>
  <si>
    <t>Sold silver collar contracts (ounces 000's)</t>
  </si>
  <si>
    <t>Foreign currency</t>
  </si>
  <si>
    <t>KIRKLAND LAKE GOLD LTD</t>
  </si>
  <si>
    <t>KL</t>
  </si>
  <si>
    <t>Brazil reias forward buy contracts (in millions of U.S. dollars)</t>
  </si>
  <si>
    <t>Chilean pesos forward buy contracts (in millions of U.S. dollars)</t>
  </si>
  <si>
    <t>Russian roubles forward buy contracts (in millions of U.S. dollars)</t>
  </si>
  <si>
    <t>Canadian dollar forward buy contracts (in millions of U.S. dollars)</t>
  </si>
  <si>
    <t>Energy</t>
  </si>
  <si>
    <t>Oil forward buy contracts (barrels)</t>
  </si>
  <si>
    <t>As a result of the acquisition of Bema, the Company acquired a portfolio of hedge contracts for gold and silver related to the Kupol project financing. Otherwise, Kinross is not actively engaged in hedging its exposure to prices for gold or silver.</t>
  </si>
  <si>
    <t>Silver ounces sold (000’s) 11,281</t>
  </si>
  <si>
    <t>NGD</t>
  </si>
  <si>
    <t>DIRECT AND INDIRECT ENERGY CONSUMPTION</t>
  </si>
  <si>
    <t>FUEL TYPE 2015 2014 2013 2012 2011 2010</t>
  </si>
  <si>
    <t>Diesel (MWhe2) 2,326,986 2,242,789 2,121,186 1,931,045 1,708,048 1,463,842</t>
  </si>
  <si>
    <t>Gasoline (MWhe) 32,097 34,058 38,757 35,176 29,401 26,672</t>
  </si>
  <si>
    <t>https://www.convertunits.com/from/gallon+[U.S.]+of+diesel+oil/to/MWh</t>
  </si>
  <si>
    <t>https://www.convertunits.com/from/gallon/to/MWh</t>
  </si>
  <si>
    <t>Attributable gold equivalent ounces produced 1 2,334,104</t>
  </si>
  <si>
    <t>In 2011, Kinross expects to produce approximately 2.5 to 2.6 million of attributable gold equivalent ounces.</t>
  </si>
  <si>
    <t>http://s1.q4cdn.com/240714812/files/documents_sustainability/NG_SuS09.pdf</t>
  </si>
  <si>
    <t>3,464,400 ounces for 2015</t>
  </si>
  <si>
    <t>https://www.sec.gov/Archives/edgar/data/800166/000120445910000637/exhibit99-2.htm</t>
  </si>
  <si>
    <t>forecast 2016 gold production is expected at between 2.8 million and 3.1 million ounces</t>
  </si>
  <si>
    <t>(2,580</t>
  </si>
  <si>
    <t>Derivative assets and liabilities:</t>
  </si>
  <si>
    <t xml:space="preserve">At December 31, 2015, the Company's derivative assets and liabilities were comprised of currency forward and option contracts (note  27(b)). </t>
  </si>
  <si>
    <t>http://s1.q4cdn.com/240714812/files/documents_sustainability/New_Gold_SR_2010_lr_Nov16.pdf</t>
  </si>
  <si>
    <t>https://www.sec.gov/Archives/edgar/data/800166/000080016611000017/fs2010-1231.htm</t>
  </si>
  <si>
    <t>On November 24, 2015, we acquired New Gold Inc.’s (“New Gold”) 30% interest in the El Morro deposit for total consideration of $90 million in cash and a 4% gold stream on future gold production from the El Morro deposit, increasing our interest in the El Morro deposit to 100%. Under the gold stream, New Gold will make ongoing payments of $400 per ounce of gold delivered under the contract, subject to a 1% per annum adjustment once 217,000 ounces have been delivered. On the same date, we entered into an agreement with Teck Resources Limited (“Teck”) to combine the El Morro deposit and Teck’s Relincho deposit, which are located approximately 40 kilometres apart in the Huasco Province in the Atacama Region of Chile, into a single project and form the Project Corridor 50/50 joint venture</t>
  </si>
  <si>
    <t>http://s1.q4cdn.com/240714812/files/documents_sustainability/10534_NewGold_SR2011_link.pdf</t>
  </si>
  <si>
    <t>https://www.sec.gov/Archives/edgar/data/800166/000080016612000034/confin_2011-1231.htm</t>
  </si>
  <si>
    <t>fair value of the 4% gold stream of $63 million</t>
  </si>
  <si>
    <t>Gold production of 2,873,000 ounces</t>
  </si>
  <si>
    <t>-</t>
  </si>
  <si>
    <t>https://www.sec.gov/Archives/edgar/data/800166/000080016613000020/financialstatement.htm</t>
  </si>
  <si>
    <t>orecast gold production is expected to be 2.5 million ounces</t>
  </si>
  <si>
    <t>No gold, fuel or byproduct hedges</t>
  </si>
  <si>
    <t>https://www.sec.gov/Archives/edgar/data/800166/000080016614000029/fs20131231.htm</t>
  </si>
  <si>
    <t>Acquisition of Gold Stream at El Morro for 65000000</t>
  </si>
  <si>
    <t>Brazil reias forward buy contracts</t>
  </si>
  <si>
    <t>(in millions of U.S. dollars)</t>
  </si>
  <si>
    <t>http://2014sustainabilityreport.newgold.com/energymanagement.php</t>
  </si>
  <si>
    <t>Chilean pesos forward buy contracts</t>
  </si>
  <si>
    <t>Russian roubles forward buy contracts</t>
  </si>
  <si>
    <t>https://www.sec.gov/Archives/edgar/data/800166/000127956915000572/v405764_ex99-2.htm</t>
  </si>
  <si>
    <t>Canadian dollar forward buy contracts</t>
  </si>
  <si>
    <t>—</t>
  </si>
  <si>
    <t>Euro forward buy contracts</t>
  </si>
  <si>
    <t>non hedge</t>
  </si>
  <si>
    <t>Diesel [MWhe] 1,900,495 1,903,726 1,818,177</t>
  </si>
  <si>
    <t>Attributable gold equivalent ounces produced 3 2,610,373</t>
  </si>
  <si>
    <t>In 2012, Kinross expects to produce approximately 2.6 to 2.8 million gold equivalent ounces f</t>
  </si>
  <si>
    <t>http://2015sustainabilityreport.newgold.com/energymanagement.php</t>
  </si>
  <si>
    <t>silver ounces sold</t>
  </si>
  <si>
    <t>silver rev</t>
  </si>
  <si>
    <t>Gold production of 2.6 million ounces</t>
  </si>
  <si>
    <t>https://www.sec.gov/Archives/edgar/data/800166/000127956916003038/v435507_ex99-2.htm</t>
  </si>
  <si>
    <t>Goldcorp expects to produce 2.5 million ounces</t>
  </si>
  <si>
    <t>zink and lead derivatives</t>
  </si>
  <si>
    <t>no fuel</t>
  </si>
  <si>
    <t>no gold</t>
  </si>
  <si>
    <t>https://www.sec.gov/Archives/edgar/data/800166/000127956917000641/v462860_ex99-2.htm</t>
  </si>
  <si>
    <t>Diesel forward buy contracts (gallons)</t>
  </si>
  <si>
    <t>http://2017sustainabilityreport.newgold.com/energymanagement.php</t>
  </si>
  <si>
    <t>Gasoil forward buy contracts (tonnes)</t>
  </si>
  <si>
    <t>https://www.sec.gov/Archives/edgar/data/800166/000127956918000620/tv486667_ex99-2.htm</t>
  </si>
  <si>
    <t>$299 million on diesel fuel</t>
  </si>
  <si>
    <t>SEABRIDGE GOLD INC</t>
  </si>
  <si>
    <t>SA</t>
  </si>
  <si>
    <t>• Produced record 2.62 million attributable gold equivalent ounces</t>
  </si>
  <si>
    <t>tot revenue</t>
  </si>
  <si>
    <t>silver ounces</t>
  </si>
  <si>
    <t>In 2013, Kinross expects to produce approximately 2.4 to 2.6 million gold equivalent ounces</t>
  </si>
  <si>
    <t>FORTUNA SILVER MINES INC</t>
  </si>
  <si>
    <t>FSM</t>
  </si>
  <si>
    <t>of revenue comes from copper</t>
  </si>
  <si>
    <t>(start of financial statement)</t>
  </si>
  <si>
    <t>(operating statistics gotal gold)</t>
  </si>
  <si>
    <t>attributed</t>
  </si>
  <si>
    <t>fuel hedge</t>
  </si>
  <si>
    <t>We expect 2010 consolidated gold production of approximately 6.3 to 6.8 million ounces,</t>
  </si>
  <si>
    <t>KLONDEX MINES LTD</t>
  </si>
  <si>
    <t>KLDX</t>
  </si>
  <si>
    <t>(discussion looking forward)</t>
  </si>
  <si>
    <t>op cost gold</t>
  </si>
  <si>
    <t>op cost copper</t>
  </si>
  <si>
    <t>Expected Maturity Date</t>
  </si>
  <si>
    <t>• Produced record 2.63 million attributable gold equivalent ounces</t>
  </si>
  <si>
    <t>In 2014, we expect to produce 2.5-2.7 million gold</t>
  </si>
  <si>
    <t>Average</t>
  </si>
  <si>
    <t>rev gold</t>
  </si>
  <si>
    <t>ENDEAVOUR SILVER CORP</t>
  </si>
  <si>
    <t>EXK</t>
  </si>
  <si>
    <t>Diesel fixed forward contracts:</t>
  </si>
  <si>
    <t>$(millions)</t>
  </si>
  <si>
    <t>Oil swap contracts (barrels)</t>
  </si>
  <si>
    <t>Average rate ($/gallon)</t>
  </si>
  <si>
    <t>Diesel swap contracts (gallons)</t>
  </si>
  <si>
    <t>Diesel gallons (millions)</t>
  </si>
  <si>
    <t>Gasoil swap contracts (tonnes)</t>
  </si>
  <si>
    <t>EMX ROYALTY CORPORATION</t>
  </si>
  <si>
    <t>EMX</t>
  </si>
  <si>
    <t>Direct non-renewable energy consumption by source as percentage of total consumption</t>
  </si>
  <si>
    <t>silver prod</t>
  </si>
  <si>
    <t>Direct energy consumption by source</t>
  </si>
  <si>
    <t>with production guidance of 2.4 to 2.6 million</t>
  </si>
  <si>
    <t>Direct non-renewable</t>
  </si>
  <si>
    <t>OSISKO GOLD ROYALTIES</t>
  </si>
  <si>
    <t>OR</t>
  </si>
  <si>
    <t>Coal</t>
  </si>
  <si>
    <t>ALAMOS GOLD INC</t>
  </si>
  <si>
    <t>AGI</t>
  </si>
  <si>
    <t>Waste oil</t>
  </si>
  <si>
    <t>&lt;1%</t>
  </si>
  <si>
    <t>Gasoline</t>
  </si>
  <si>
    <t>Natural gas</t>
  </si>
  <si>
    <t>Propane</t>
  </si>
  <si>
    <t>Heavy fuel oil</t>
  </si>
  <si>
    <t>Aviation fuel</t>
  </si>
  <si>
    <t>TR</t>
  </si>
  <si>
    <t>Direct renewable energy consumption</t>
  </si>
  <si>
    <t>PARAMOUNT GOLD NEVADA CORP</t>
  </si>
  <si>
    <t>PZG</t>
  </si>
  <si>
    <t>n 2016, Kinross expects to produce 2.7 to 2.9 million gold equivalent ounces from its operations,</t>
  </si>
  <si>
    <t>no metal contracts</t>
  </si>
  <si>
    <t>MAG SILVER CORP</t>
  </si>
  <si>
    <t>MAG</t>
  </si>
  <si>
    <t>In 2017, Kinross expects to produce 2.5 to 2.7 million gold equivalent ounces from its operations,</t>
  </si>
  <si>
    <t>ASANKO GOLD INC</t>
  </si>
  <si>
    <t>AKG</t>
  </si>
  <si>
    <t>WTI oil swap contracts (barrels)</t>
  </si>
  <si>
    <t>In 2018, Kinross expects to produce 2.5 million gold equivalent ounces</t>
  </si>
  <si>
    <t>metal selaes</t>
  </si>
  <si>
    <t>COMSTOCK MINING INC</t>
  </si>
  <si>
    <t>LODE</t>
  </si>
  <si>
    <t>(5.4 million ounces attributable to Newmont) in 2010</t>
  </si>
  <si>
    <t>We expect 2011 gold production of approximately 5.1 to 5.3 million ounces attributable to Newmon</t>
  </si>
  <si>
    <t>gallons outstanding</t>
  </si>
  <si>
    <t>rev from non gold</t>
  </si>
  <si>
    <t>Fair Value, Net</t>
  </si>
  <si>
    <t>At December 31,</t>
  </si>
  <si>
    <t>Diesel Fixed Forward Contracts:</t>
  </si>
  <si>
    <t>ALIO GOLD INC</t>
  </si>
  <si>
    <t>ALO</t>
  </si>
  <si>
    <t>Expected Nevada hedge ratio</t>
  </si>
  <si>
    <t>For 2011, 2010 and 2009, 88%, 81% and 83%, respectively, of our Sales were attributable to gold.</t>
  </si>
  <si>
    <t>We expect 2012 gold production of approximately 5.0 to 5.2 million ounces attributable to Newmont</t>
  </si>
  <si>
    <t>net delta</t>
  </si>
  <si>
    <t>gold revenue</t>
  </si>
  <si>
    <t>Operating costs of $132.5 million in 2009</t>
  </si>
  <si>
    <t>Eldorado plans to produce 550,000 to 600,000 ounces in 2010</t>
  </si>
  <si>
    <t xml:space="preserve">no hedges </t>
  </si>
  <si>
    <t>no non-gold revenue</t>
  </si>
  <si>
    <t>GOLD RESOURCE CORP</t>
  </si>
  <si>
    <t>GORO</t>
  </si>
  <si>
    <r>
      <t xml:space="preserve">Produced </t>
    </r>
    <r>
      <rPr>
        <sz val="10"/>
        <color rgb="FFFF0000"/>
        <rFont val="Arial"/>
        <family val="2"/>
      </rPr>
      <t>632,539</t>
    </r>
    <r>
      <rPr>
        <sz val="10"/>
        <color rgb="FF000000"/>
        <rFont val="Arial"/>
      </rPr>
      <t xml:space="preserve"> ounces of gold -- 74% higher than in 2009</t>
    </r>
  </si>
  <si>
    <t>fuel</t>
  </si>
  <si>
    <t>Total Average</t>
  </si>
  <si>
    <t>2011 production is expected to be 715,000 to 770,000 ounces of gold</t>
  </si>
  <si>
    <t>At December 31, 2011 2010</t>
  </si>
  <si>
    <t>$782.9 million in gold revenues</t>
  </si>
  <si>
    <t>$93.50 per dry metric tonne</t>
  </si>
  <si>
    <t>total prod cost</t>
  </si>
  <si>
    <t>SANDSTORM GOLD LTD</t>
  </si>
  <si>
    <t>SAND</t>
  </si>
  <si>
    <t>attribuyed gold prod</t>
  </si>
  <si>
    <t>For 2012, 2011 and 2010, 92%, 88% and 81%, respectively, of our Sales were attributable to gold</t>
  </si>
  <si>
    <t>We expect 2013 attributable gold production of approximately 4.8 to 5.1 million ounces</t>
  </si>
  <si>
    <t>Diesel Price Risk</t>
  </si>
  <si>
    <t>Produced 658,652 ounces of gold</t>
  </si>
  <si>
    <t>2 Revenues include proceeds from the sale of iron ore produced by Vila Nova in the amount of $56.8 million in 2011 ($8.3 million – 2010; $nil – 2009).</t>
  </si>
  <si>
    <t>We had the following diesel derivative contracts outstanding at December 31, 2012 and 2011:</t>
  </si>
  <si>
    <t>730,000 to 775,000</t>
  </si>
  <si>
    <t>Revenues include proceeds from the sale of lead and zinc concentrates produced by Stratoni in the amount of $47.9 million (Stratoni was acquired in 2012), the sale of iron ore from Vila Nova in the amount of $45.6 million in 2012 ($56.8 million – 2011; $8.3 million – 2010), the sale of pyrite from Olympias in the amount of $0.8 million (Olympias was acquired in 2012), and the sale of silver in the amount of $6.1 million from our gold mines ($4.8 million – 2011; $2.6 million – 2010).</t>
  </si>
  <si>
    <t>705,000 to 760,000</t>
  </si>
  <si>
    <t>B2GOLD CORP</t>
  </si>
  <si>
    <t>BTG</t>
  </si>
  <si>
    <t>income statement</t>
  </si>
  <si>
    <t>management discussion one of the first pages</t>
  </si>
  <si>
    <t>tto rev</t>
  </si>
  <si>
    <t>attributed gold prod</t>
  </si>
  <si>
    <t>or 2013, 2012 and 2011, 92%, 92% and 88%, respectively, of our Sales were attributable to gold</t>
  </si>
  <si>
    <t>total revenue</t>
  </si>
  <si>
    <t>4.6 to 4.9 million attributable ounces)</t>
  </si>
  <si>
    <t>We had the following diesel derivative contracts outstanding at December 31, 2013 and 2012:</t>
  </si>
  <si>
    <t>730,000 to 800,000</t>
  </si>
  <si>
    <t>TAHOE RESOURCES INC</t>
  </si>
  <si>
    <t>TAHO</t>
  </si>
  <si>
    <t>total production cost</t>
  </si>
  <si>
    <t>GOLD STANDARD VENTURES CORP</t>
  </si>
  <si>
    <t>GSV</t>
  </si>
  <si>
    <t>produced gold</t>
  </si>
  <si>
    <t>expect to produce between 640,000–700,000 ounces of gold</t>
  </si>
  <si>
    <t>fuel cost %</t>
  </si>
  <si>
    <t>Forward Starting Swap Contracts</t>
  </si>
  <si>
    <t>In 2015, we produced 723,532 ounces of gold</t>
  </si>
  <si>
    <t>565,000 to 630,000</t>
  </si>
  <si>
    <t>For 2014, 2013 and 2012, 90%, 91% and 91%, respectively, of our Sales were attributable to gold</t>
  </si>
  <si>
    <t>We expect to increase attributable gold production from between 4.6 and 4.9 million ounces in 2015</t>
  </si>
  <si>
    <t>diesel hedge</t>
  </si>
  <si>
    <t>PERSHING GOLD CORP</t>
  </si>
  <si>
    <t>PGLC</t>
  </si>
  <si>
    <t>total diesel</t>
  </si>
  <si>
    <t>(5.0 million attributable ounces) in 2015,</t>
  </si>
  <si>
    <t>For 2015, 2014 and 2013, 84%, 90% and 91%, respectively, of our Sales were attributable to gold</t>
  </si>
  <si>
    <t>4.5 and 5.0 million ounces of gold per year in the longer term</t>
  </si>
  <si>
    <t>no hedged</t>
  </si>
  <si>
    <t>Eldorado produced approximately 486,000 ounces of gold in 2016</t>
  </si>
  <si>
    <t>Produce between 365,000 and 400,000 ounces of gold</t>
  </si>
  <si>
    <t>PRETIUM RESOURCES INC</t>
  </si>
  <si>
    <t>PVG</t>
  </si>
  <si>
    <t>total diesel in GJ</t>
  </si>
  <si>
    <t>Total/Average</t>
  </si>
  <si>
    <t>all metals</t>
  </si>
  <si>
    <t>Expected hedge ratio</t>
  </si>
  <si>
    <t>MINAS BUENAVENTURA SA</t>
  </si>
  <si>
    <t>BVN</t>
  </si>
  <si>
    <t>Gold production of 292,971 ounces,</t>
  </si>
  <si>
    <t>non gold derivatives</t>
  </si>
  <si>
    <t>(4.9 million attributable ounces)</t>
  </si>
  <si>
    <t>For 2016, 2015 and 2014, 96%, 95% and 95%, respectively, of our Sales were attributable to gold</t>
  </si>
  <si>
    <t>SIC 1000</t>
  </si>
  <si>
    <t>290,000 – 330,000</t>
  </si>
  <si>
    <t>DRDGOLD LTD</t>
  </si>
  <si>
    <t>DRD</t>
  </si>
  <si>
    <t>(5.3 million attributable ounces) in 2017,</t>
  </si>
  <si>
    <t>For 2017, 2016 and 2015, 96%, 96% and 95%, respectively, of our Sales were attributable to gold.</t>
  </si>
  <si>
    <t>RANDGOLD RESOURCES LTD</t>
  </si>
  <si>
    <t>GOLD</t>
  </si>
  <si>
    <t>·  Production from continuing operations of 1,025,677 GEO including production of 44,830 GEO from commissioning mines</t>
  </si>
  <si>
    <t>financial statement</t>
  </si>
  <si>
    <t>Total direct energy consumed by Yamana in 2009 was 4,226,280 Gigajoules (Gj) including 2,124,999 Gj of diesel,</t>
  </si>
  <si>
    <t>sustainability report</t>
  </si>
  <si>
    <t>The Company has a copper hedging program that was designed to mitigate risks to earnings and cash flows from its Chapada mine. Hedging copper also provides further leverage to gold prices and increases the impact of gold on the Company’s unhedged revenues</t>
  </si>
  <si>
    <t>As at December 31, 2009, the Company had a total of approximately 1.4 million pounds under open forward contracts at an average strike price of approximately $3.01 per pound of copper and maturity dates in 2010. The program requires no cash margin, collateral or other security from the Company.</t>
  </si>
  <si>
    <t>Production from continuing operations is expected to be in the range of 1,030,000 to 1,145,000 GEO in 2010</t>
  </si>
  <si>
    <t xml:space="preserve">Gross revenues for the year were derived from the sale of 769,636 ounces of gold, 10.5 million ounces of silver and 137.4 million pounds of copper from continuing operations. </t>
  </si>
  <si>
    <t>Realized Prices (i)</t>
  </si>
  <si>
    <t>Market Prices</t>
  </si>
  <si>
    <t>For the twelve months ended December 31,</t>
  </si>
  <si>
    <t>Gold (per oz.)</t>
  </si>
  <si>
    <t>Copper (per lb.)</t>
  </si>
  <si>
    <t>Silver (per oz.)</t>
  </si>
  <si>
    <t>revenue from gold</t>
  </si>
  <si>
    <t>Record production from continuing operations of 1,047,191 GEO</t>
  </si>
  <si>
    <t>diesel fuel used???</t>
  </si>
  <si>
    <t>Info in 2011 sustainability report</t>
  </si>
  <si>
    <t>gigajoules</t>
  </si>
  <si>
    <t>Production from continuing operations is expected to be in the range of approximately 1.04 million to 1.14 million gold equivalent ounces (“GEO”) in 2011</t>
  </si>
  <si>
    <t>The Company has entered into several currency hedges to mitigate against fluctuations in the price of copper as further discussed in Section “Derivatives”. The Company has not hedged any of its gold.</t>
  </si>
  <si>
    <t>Realized</t>
  </si>
  <si>
    <t>For the year ended December 31, 2010</t>
  </si>
  <si>
    <t>Quantity Sold</t>
  </si>
  <si>
    <t>Price</t>
  </si>
  <si>
    <t>(in ‘000s)</t>
  </si>
  <si>
    <t>Gold (i)</t>
  </si>
  <si>
    <t>oz.</t>
  </si>
  <si>
    <t>Total Precious Metals</t>
  </si>
  <si>
    <t>GEO</t>
  </si>
  <si>
    <t>Copper (i)</t>
  </si>
  <si>
    <t>lbs.</t>
  </si>
  <si>
    <t>Gross Revenues</t>
  </si>
  <si>
    <t>non gold %</t>
  </si>
  <si>
    <t>Record commercial production of 1,093,858</t>
  </si>
  <si>
    <t>Diesel use</t>
  </si>
  <si>
    <t>Production in 2012 is expected to be in the range of 1.2 to 1.3 million gold equivalent ounces</t>
  </si>
  <si>
    <t>Average realized gold price per ounce (iii)</t>
  </si>
  <si>
    <t>Average realized copper price per pound (excluding derivative contracts) (iii)</t>
  </si>
  <si>
    <t>Average realized silver price per ounce (iii)</t>
  </si>
  <si>
    <t>Sold</t>
  </si>
  <si>
    <t>oz</t>
  </si>
  <si>
    <t>Total precious metals</t>
  </si>
  <si>
    <t>lbs</t>
  </si>
  <si>
    <t>Gross revenues</t>
  </si>
  <si>
    <t>% non hedge</t>
  </si>
  <si>
    <t>Record total production for the year of 1.20 million gold equivalent ounces</t>
  </si>
  <si>
    <t>Production in 2013 is expected to be in the range of 1.44 million to 1.60 million GEO with a target level of 1.48 million GEO</t>
  </si>
  <si>
    <t>The Company entered into forward contracts to hedge against the risk of declining copper prices for a portion of its forecast copper concentrate sales during the period. Included in sales are realized gains in the amount of $0.03 million (December 31, 2011 — realized gains of $3.9 million) in respect of commodity contracts</t>
  </si>
  <si>
    <t>% non-gold revenue</t>
  </si>
  <si>
    <t>gold production see next year</t>
  </si>
  <si>
    <t>The Company has budgeted production of 1.4 million GEO in 2014</t>
  </si>
  <si>
    <t>% non-gold</t>
  </si>
  <si>
    <t>Record production of 1.40 million GEO</t>
  </si>
  <si>
    <t>For 2015, the Company expects to deliver production growth across its portfolio with gold production increasing by approximately 8% to 1.30 million ounces of gold</t>
  </si>
  <si>
    <t>Total production from continuing operations</t>
  </si>
  <si>
    <t>Diesel(litres)* 88,143,599.53</t>
  </si>
  <si>
    <t>For the year ended December 31,</t>
  </si>
  <si>
    <t>(In thousands of Dollars; unless otherwise noted)</t>
  </si>
  <si>
    <t>Quantity
Sold (ii)</t>
  </si>
  <si>
    <t>Realized Price</t>
  </si>
  <si>
    <t>Gross revenue</t>
  </si>
  <si>
    <t>Total production</t>
  </si>
  <si>
    <t>1,234,000 - 1,305,000</t>
  </si>
  <si>
    <t>estimated</t>
  </si>
  <si>
    <t>ferred revenue on metal agreements (ii)</t>
  </si>
  <si>
    <t>https://www.yamana.com/responsibility/corporate-social-responsibility/gri-index/default.aspx</t>
  </si>
  <si>
    <t>liters diesel</t>
  </si>
  <si>
    <t>During the fourth quarter, the Company entered into contracts whereby 42 million pounds of 2016 copper production was purchased at a price of $2.20 per pound, which represents approximately 34% of the expected 2016 Chapada production. The Company periodically uses forward contracts to economically hedge against the risk of declining copper prices for a portion of its forecast copper concentrate sales</t>
  </si>
  <si>
    <t>In millions of US Dollars; unless otherwise noted)</t>
  </si>
  <si>
    <t>estimate</t>
  </si>
  <si>
    <t>Fazenda Brasileiro</t>
  </si>
  <si>
    <t>MRDM</t>
  </si>
  <si>
    <t>Pilar</t>
  </si>
  <si>
    <t>Minera Florida</t>
  </si>
  <si>
    <t>Chapada</t>
  </si>
  <si>
    <t>Jacobina</t>
  </si>
  <si>
    <t>Mercedes</t>
  </si>
  <si>
    <t>El Peñón</t>
  </si>
  <si>
    <t>Gualcamayo</t>
  </si>
  <si>
    <t>Cerro Moro</t>
  </si>
  <si>
    <t>Fuels (MWh)</t>
  </si>
  <si>
    <t>Stream conract</t>
  </si>
  <si>
    <t>Deferred revenue on metal agreements - Altius (ii)</t>
  </si>
  <si>
    <t>Deferred revenue on metal agreements - Sandstorm (iii)</t>
  </si>
  <si>
    <t>(In millions of US Dollars; unless otherwise noted)</t>
  </si>
  <si>
    <t>Revenue per ounce/pound</t>
  </si>
  <si>
    <t>Revenue (ii)</t>
  </si>
  <si>
    <t>Our total energy consumption in 2017, considering fuel and electricity, was 1,335,265 MWh, a</t>
  </si>
  <si>
    <t>During the third quarter of 2017, the Company also entered into a portfolio of zero-cost collar contracts for gold with a number of counterparties. The arrangement comprises of written call and purchased put options with identical characteristics and a range of strike prices that expire over a period of six months from October 2017 to March 2018. Total notional quantities included under this arrangement amounted to 284,200 ounces of gold, of which collars worth 152,300 notional ounces had settled or expired by December 31, 2017. The weighted average strike prices of the options are $1,300 per ounce and $1,414 per ounce for the put and call options, respectively, comprising the boundaries of the collar.</t>
  </si>
  <si>
    <t>volum</t>
  </si>
  <si>
    <t>short call</t>
  </si>
  <si>
    <t>long put</t>
  </si>
  <si>
    <t>effective hedge</t>
  </si>
  <si>
    <t>deferred rev</t>
  </si>
  <si>
    <t>Quantity sold</t>
  </si>
  <si>
    <t>Revenue (In millions of US Dollars)</t>
  </si>
  <si>
    <t>On October 27, 2015 the Company entered into three metal purchase agreements with Sandstorm pursuant to which, the Company received advanced consideration of $170.4 million against future deliveries of silver production from Cerro Moro, Minera Florida and Chapada, copper production from Chapada, and gold production from Agua Rica. The advanced consideration is accounted for as deferred revenue, with revenue recognized when the respective metals are delivered to Sandstorm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</si>
</sst>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0\)"/>
    <numFmt numFmtId="165" formatCode="0.000"/>
    <numFmt numFmtId="166" formatCode="0.00000"/>
    <numFmt numFmtId="167" formatCode="#,##0.000;\(#,##0.000\)"/>
    <numFmt numFmtId="168" formatCode="mmmm\ d\,\ yyyy"/>
    <numFmt numFmtId="169" formatCode="#,##0.00;\(#,##0.00\)"/>
    <numFmt numFmtId="170" formatCode="#,##0.00000"/>
    <numFmt numFmtId="171" formatCode="0.0000"/>
    <numFmt numFmtId="172" formatCode="0.000%"/>
    <numFmt numFmtId="173" formatCode="0.000000000"/>
    <numFmt numFmtId="174" formatCode="mmmm\ d\,yyyy"/>
    <numFmt numFmtId="175" formatCode="&quot;$&quot;#,##0.00"/>
    <numFmt numFmtId="176" formatCode="&quot;$&quot;#,##0"/>
    <numFmt numFmtId="177" formatCode="m/d/yy"/>
    <numFmt numFmtId="178" formatCode="#,##0.000"/>
    <numFmt numFmtId="179" formatCode="_(&quot;$&quot;* #,##0_);_(&quot;$&quot;* \(#,##0\);_(&quot;$&quot;* &quot;-&quot;??_);_(@_)"/>
    <numFmt numFmtId="180" formatCode="d\ mmmm\ yyyy"/>
    <numFmt numFmtId="181" formatCode="#,##0.0000"/>
    <numFmt numFmtId="182" formatCode="#,##0&quot;$&quot;"/>
  </numFmts>
  <fonts count="136">
    <font>
      <sz val="10"/>
      <color rgb="FF000000"/>
      <name val="Arial"/>
    </font>
    <font>
      <b/>
      <sz val="12"/>
      <color rgb="FFFFFFFF"/>
      <name val="Arial"/>
      <family val="2"/>
    </font>
    <font>
      <b/>
      <sz val="9"/>
      <color rgb="FFFFFFFF"/>
      <name val="Arial"/>
      <family val="2"/>
    </font>
    <font>
      <sz val="10"/>
      <name val="Arial"/>
      <family val="2"/>
    </font>
    <font>
      <b/>
      <sz val="8"/>
      <color rgb="FFFFFFFF"/>
      <name val="Arial"/>
      <family val="2"/>
    </font>
    <font>
      <b/>
      <sz val="9"/>
      <name val="Arial"/>
      <family val="2"/>
    </font>
    <font>
      <sz val="9"/>
      <name val="Arial"/>
      <family val="2"/>
    </font>
    <font>
      <u/>
      <sz val="10"/>
      <color rgb="FF0000FF"/>
      <name val="Arial"/>
      <family val="2"/>
    </font>
    <font>
      <sz val="11"/>
      <color rgb="FF000000"/>
      <name val="Calibri"/>
      <family val="2"/>
    </font>
    <font>
      <sz val="10"/>
      <color rgb="FF292929"/>
      <name val="Karla"/>
    </font>
    <font>
      <b/>
      <sz val="10"/>
      <name val="Arial"/>
      <family val="2"/>
    </font>
    <font>
      <b/>
      <sz val="8"/>
      <color rgb="FF000000"/>
      <name val="Times"/>
    </font>
    <font>
      <sz val="10"/>
      <color rgb="FF000000"/>
      <name val="Arial"/>
      <family val="2"/>
    </font>
    <font>
      <u/>
      <sz val="10"/>
      <color rgb="FF0000FF"/>
      <name val="Arial"/>
      <family val="2"/>
    </font>
    <font>
      <b/>
      <sz val="8"/>
      <color rgb="FF000000"/>
      <name val="Arial"/>
      <family val="2"/>
    </font>
    <font>
      <sz val="10"/>
      <name val="Arial"/>
      <family val="2"/>
    </font>
    <font>
      <b/>
      <sz val="10"/>
      <color rgb="FF000000"/>
      <name val="Arial"/>
      <family val="2"/>
    </font>
    <font>
      <sz val="11"/>
      <color rgb="FF000000"/>
      <name val="Inconsolata"/>
    </font>
    <font>
      <sz val="11"/>
      <color rgb="FF000000"/>
      <name val="Arial"/>
      <family val="2"/>
    </font>
    <font>
      <b/>
      <sz val="12"/>
      <color rgb="FF444444"/>
      <name val="Arial"/>
      <family val="2"/>
    </font>
    <font>
      <sz val="12"/>
      <color rgb="FF444444"/>
      <name val="Arial"/>
      <family val="2"/>
    </font>
    <font>
      <sz val="12"/>
      <color rgb="FF008000"/>
      <name val="Arial"/>
      <family val="2"/>
    </font>
    <font>
      <sz val="12"/>
      <color rgb="FFFF0000"/>
      <name val="Arial"/>
      <family val="2"/>
    </font>
    <font>
      <b/>
      <sz val="12"/>
      <color rgb="FF000000"/>
      <name val="Arial"/>
      <family val="2"/>
    </font>
    <font>
      <b/>
      <sz val="10"/>
      <color rgb="FF000000"/>
      <name val="Times New Roman"/>
      <family val="1"/>
    </font>
    <font>
      <b/>
      <sz val="10"/>
      <color rgb="FFFF0000"/>
      <name val="Arial"/>
      <family val="2"/>
    </font>
    <font>
      <sz val="10"/>
      <color rgb="FF666666"/>
      <name val="Arial"/>
      <family val="2"/>
    </font>
    <font>
      <sz val="10"/>
      <color rgb="FF231F20"/>
      <name val="Arial"/>
      <family val="2"/>
    </font>
    <font>
      <sz val="10"/>
      <color rgb="FF000000"/>
      <name val="Roboto"/>
    </font>
    <font>
      <sz val="9"/>
      <color rgb="FF231F20"/>
      <name val="Arial"/>
      <family val="2"/>
    </font>
    <font>
      <b/>
      <sz val="9"/>
      <color rgb="FF6C6D70"/>
      <name val="Arial"/>
      <family val="2"/>
    </font>
    <font>
      <sz val="9"/>
      <color rgb="FF0EA600"/>
      <name val="Arial"/>
      <family val="2"/>
    </font>
    <font>
      <sz val="8"/>
      <color rgb="FF000000"/>
      <name val="Arial"/>
      <family val="2"/>
    </font>
    <font>
      <sz val="10"/>
      <name val="Arial"/>
      <family val="2"/>
    </font>
    <font>
      <sz val="10"/>
      <name val="Times"/>
    </font>
    <font>
      <b/>
      <sz val="14"/>
      <color rgb="FF333333"/>
      <name val="Arial"/>
      <family val="2"/>
    </font>
    <font>
      <b/>
      <sz val="10"/>
      <name val="Arial"/>
      <family val="2"/>
    </font>
    <font>
      <b/>
      <sz val="7"/>
      <color rgb="FF000000"/>
      <name val="Arial"/>
      <family val="2"/>
    </font>
    <font>
      <b/>
      <sz val="7"/>
      <color rgb="FF666666"/>
      <name val="Arial"/>
      <family val="2"/>
    </font>
    <font>
      <i/>
      <sz val="10"/>
      <color rgb="FF000000"/>
      <name val="Times"/>
    </font>
    <font>
      <b/>
      <sz val="10"/>
      <color rgb="FF4A4A4A"/>
      <name val="Arial"/>
      <family val="2"/>
    </font>
    <font>
      <sz val="9"/>
      <color rgb="FFFF0000"/>
      <name val="Arial"/>
      <family val="2"/>
    </font>
    <font>
      <sz val="9"/>
      <color rgb="FF2A2A2A"/>
      <name val="Arial"/>
      <family val="2"/>
    </font>
    <font>
      <sz val="8"/>
      <color rgb="FF4A4A4A"/>
      <name val="Arial"/>
      <family val="2"/>
    </font>
    <font>
      <u/>
      <sz val="10"/>
      <color rgb="FF0000FF"/>
      <name val="Arial"/>
      <family val="2"/>
    </font>
    <font>
      <sz val="8"/>
      <color rgb="FF333333"/>
      <name val="Arial"/>
      <family val="2"/>
    </font>
    <font>
      <b/>
      <sz val="12"/>
      <color rgb="FF333333"/>
      <name val="Arial"/>
      <family val="2"/>
    </font>
    <font>
      <b/>
      <sz val="10"/>
      <color rgb="FF000000"/>
      <name val="Arial"/>
      <family val="2"/>
    </font>
    <font>
      <b/>
      <sz val="10"/>
      <color rgb="FF333333"/>
      <name val="Arial"/>
      <family val="2"/>
    </font>
    <font>
      <b/>
      <sz val="10"/>
      <name val="Arial"/>
      <family val="2"/>
    </font>
    <font>
      <b/>
      <sz val="8"/>
      <name val="Arial"/>
      <family val="2"/>
    </font>
    <font>
      <u/>
      <sz val="11"/>
      <color rgb="FFFF0000"/>
      <name val="Inconsolata"/>
    </font>
    <font>
      <sz val="10"/>
      <color rgb="FF000000"/>
      <name val="Arial"/>
      <family val="2"/>
    </font>
    <font>
      <sz val="9"/>
      <name val="Arial"/>
      <family val="2"/>
    </font>
    <font>
      <u/>
      <sz val="10"/>
      <color rgb="FF0000FF"/>
      <name val="Arial"/>
      <family val="2"/>
    </font>
    <font>
      <i/>
      <sz val="10"/>
      <color rgb="FF000000"/>
      <name val="Arial"/>
      <family val="2"/>
    </font>
    <font>
      <b/>
      <sz val="9"/>
      <name val="Arial"/>
      <family val="2"/>
    </font>
    <font>
      <sz val="8"/>
      <name val="Arial"/>
      <family val="2"/>
    </font>
    <font>
      <sz val="9"/>
      <color rgb="FF000000"/>
      <name val="Arial"/>
      <family val="2"/>
    </font>
    <font>
      <u/>
      <sz val="10"/>
      <color rgb="FF0000FF"/>
      <name val="Arial"/>
      <family val="2"/>
    </font>
    <font>
      <b/>
      <sz val="9"/>
      <color rgb="FF000000"/>
      <name val="Arial"/>
      <family val="2"/>
    </font>
    <font>
      <sz val="8"/>
      <color rgb="FF000000"/>
      <name val="Arial"/>
      <family val="2"/>
    </font>
    <font>
      <sz val="8"/>
      <name val="Arial"/>
      <family val="2"/>
    </font>
    <font>
      <sz val="9"/>
      <color rgb="FF000000"/>
      <name val="Arial"/>
      <family val="2"/>
    </font>
    <font>
      <u/>
      <sz val="10"/>
      <color rgb="FF0000FF"/>
      <name val="Arial"/>
      <family val="2"/>
    </font>
    <font>
      <sz val="1"/>
      <name val="Arial"/>
      <family val="2"/>
    </font>
    <font>
      <b/>
      <sz val="11"/>
      <color rgb="FF333333"/>
      <name val="Arial"/>
      <family val="2"/>
    </font>
    <font>
      <u/>
      <sz val="10"/>
      <color rgb="FF0000FF"/>
      <name val="Arial"/>
      <family val="2"/>
    </font>
    <font>
      <b/>
      <sz val="14"/>
      <name val="Arial"/>
      <family val="2"/>
    </font>
    <font>
      <b/>
      <sz val="12"/>
      <name val="Arial"/>
      <family val="2"/>
    </font>
    <font>
      <sz val="7"/>
      <color rgb="FF000000"/>
      <name val="Arial"/>
      <family val="2"/>
    </font>
    <font>
      <b/>
      <sz val="8"/>
      <color rgb="FF000000"/>
      <name val="Arial"/>
      <family val="2"/>
    </font>
    <font>
      <b/>
      <sz val="8"/>
      <name val="Times New Roman"/>
      <family val="1"/>
    </font>
    <font>
      <sz val="10"/>
      <name val="Times New Roman"/>
      <family val="1"/>
    </font>
    <font>
      <sz val="9"/>
      <color rgb="FF0073AE"/>
      <name val="Calibri"/>
      <family val="2"/>
    </font>
    <font>
      <sz val="10"/>
      <color rgb="FF000000"/>
      <name val="Times New Roman"/>
      <family val="1"/>
    </font>
    <font>
      <b/>
      <sz val="9"/>
      <color rgb="FF000000"/>
      <name val="Calibri"/>
      <family val="2"/>
    </font>
    <font>
      <sz val="9"/>
      <color rgb="FF000000"/>
      <name val="Calibri"/>
      <family val="2"/>
    </font>
    <font>
      <sz val="10"/>
      <color rgb="FF000000"/>
      <name val="Arial"/>
      <family val="2"/>
    </font>
    <font>
      <sz val="9"/>
      <color rgb="FF0075AE"/>
      <name val="Calibri"/>
      <family val="2"/>
    </font>
    <font>
      <b/>
      <sz val="8"/>
      <color rgb="FF000000"/>
      <name val="Times New Roman"/>
      <family val="1"/>
    </font>
    <font>
      <sz val="10"/>
      <color rgb="FF000000"/>
      <name val="Calibri"/>
      <family val="2"/>
    </font>
    <font>
      <sz val="12"/>
      <color rgb="FF000000"/>
      <name val="Arial"/>
      <family val="2"/>
    </font>
    <font>
      <b/>
      <sz val="9"/>
      <color rgb="FF0070C0"/>
      <name val="Calibri"/>
      <family val="2"/>
    </font>
    <font>
      <b/>
      <sz val="9"/>
      <color rgb="FF000000"/>
      <name val="Arial"/>
      <family val="2"/>
    </font>
    <font>
      <sz val="8"/>
      <color rgb="FFFFFFFF"/>
      <name val="Arial"/>
      <family val="2"/>
    </font>
    <font>
      <sz val="9"/>
      <color rgb="FFFFFFFF"/>
      <name val="Arial"/>
      <family val="2"/>
    </font>
    <font>
      <b/>
      <sz val="9"/>
      <color rgb="FF005B94"/>
      <name val="Calibri"/>
      <family val="2"/>
    </font>
    <font>
      <sz val="9"/>
      <color rgb="FF005B94"/>
      <name val="Arial"/>
      <family val="2"/>
    </font>
    <font>
      <sz val="9"/>
      <name val="Calibri"/>
      <family val="2"/>
    </font>
    <font>
      <b/>
      <sz val="10"/>
      <color rgb="FF222222"/>
      <name val="Arial"/>
      <family val="2"/>
    </font>
    <font>
      <sz val="10"/>
      <color rgb="FF222222"/>
      <name val="Arial"/>
      <family val="2"/>
    </font>
    <font>
      <b/>
      <sz val="10"/>
      <color rgb="FF000000"/>
      <name val="Arial"/>
      <family val="2"/>
    </font>
    <font>
      <sz val="10"/>
      <color rgb="FF000000"/>
      <name val="Helvetica"/>
    </font>
    <font>
      <sz val="9"/>
      <color rgb="FF000000"/>
      <name val="Tunga"/>
      <family val="2"/>
    </font>
    <font>
      <sz val="10"/>
      <name val="Helvetica"/>
    </font>
    <font>
      <sz val="10"/>
      <color rgb="FFFF0000"/>
      <name val="Arial"/>
      <family val="2"/>
    </font>
    <font>
      <sz val="12"/>
      <color rgb="FF000000"/>
      <name val="Times"/>
    </font>
    <font>
      <b/>
      <i/>
      <sz val="10"/>
      <color rgb="FF000000"/>
      <name val="Arial"/>
      <family val="2"/>
    </font>
    <font>
      <sz val="5"/>
      <color rgb="FF000000"/>
      <name val="Times"/>
    </font>
    <font>
      <sz val="10"/>
      <color rgb="FF000000"/>
      <name val="Times"/>
    </font>
    <font>
      <b/>
      <sz val="9"/>
      <color rgb="FF4D4D4F"/>
      <name val="Arial"/>
      <family val="2"/>
    </font>
    <font>
      <b/>
      <sz val="8"/>
      <name val="Arial"/>
      <family val="2"/>
    </font>
    <font>
      <b/>
      <sz val="9"/>
      <color rgb="FF4C4D4F"/>
      <name val="Arial"/>
      <family val="2"/>
    </font>
    <font>
      <sz val="9"/>
      <color rgb="FF4D4D4F"/>
      <name val="Arial"/>
      <family val="2"/>
    </font>
    <font>
      <sz val="9"/>
      <name val="Inherit"/>
    </font>
    <font>
      <sz val="11"/>
      <color rgb="FFFFFFFF"/>
      <name val="Arial"/>
      <family val="2"/>
    </font>
    <font>
      <b/>
      <sz val="9"/>
      <name val="Inherit"/>
    </font>
    <font>
      <sz val="9"/>
      <color rgb="FF616365"/>
      <name val="Arial"/>
      <family val="2"/>
    </font>
    <font>
      <sz val="9"/>
      <color rgb="FF4C4D4F"/>
      <name val="Arial"/>
      <family val="2"/>
    </font>
    <font>
      <b/>
      <sz val="10"/>
      <name val="Times"/>
    </font>
    <font>
      <sz val="10"/>
      <color rgb="FF000000"/>
      <name val="Times"/>
    </font>
    <font>
      <b/>
      <sz val="10"/>
      <color rgb="FF000000"/>
      <name val="Times"/>
    </font>
    <font>
      <i/>
      <sz val="10"/>
      <color rgb="FF000000"/>
      <name val="Arial"/>
      <family val="2"/>
    </font>
    <font>
      <u/>
      <sz val="10"/>
      <color rgb="FF000000"/>
      <name val="Arial"/>
      <family val="2"/>
    </font>
    <font>
      <b/>
      <sz val="11"/>
      <color rgb="FF000000"/>
      <name val="Arial"/>
      <family val="2"/>
    </font>
    <font>
      <sz val="1"/>
      <name val="Times"/>
    </font>
    <font>
      <b/>
      <u/>
      <sz val="10"/>
      <name val="Times New Roman"/>
      <family val="1"/>
    </font>
    <font>
      <sz val="8"/>
      <color rgb="FF000000"/>
      <name val="Helvetica"/>
    </font>
    <font>
      <sz val="1"/>
      <color rgb="FF000000"/>
      <name val="Arial"/>
      <family val="2"/>
    </font>
    <font>
      <b/>
      <u/>
      <sz val="10"/>
      <name val="Times New Roman"/>
      <family val="1"/>
    </font>
    <font>
      <b/>
      <sz val="10"/>
      <color rgb="FFFFFFFF"/>
      <name val="HelveticaNeue-Bold"/>
    </font>
    <font>
      <sz val="10"/>
      <color rgb="FF001E61"/>
      <name val="Inherit"/>
    </font>
    <font>
      <sz val="10"/>
      <color rgb="FF222222"/>
      <name val="HelveticaNeue-Bold"/>
    </font>
    <font>
      <sz val="10"/>
      <color rgb="FF222222"/>
      <name val="Inherit"/>
    </font>
    <font>
      <sz val="10"/>
      <color rgb="FF222222"/>
      <name val="HelveticaNeue-Roman"/>
    </font>
    <font>
      <b/>
      <sz val="10"/>
      <name val="Times New Roman"/>
      <family val="1"/>
    </font>
    <font>
      <b/>
      <i/>
      <sz val="10"/>
      <color rgb="FF000000"/>
      <name val="Arial"/>
      <family val="2"/>
    </font>
    <font>
      <sz val="9"/>
      <color rgb="FF000000"/>
      <name val="Times"/>
    </font>
    <font>
      <i/>
      <sz val="8"/>
      <name val="Times New Roman"/>
      <family val="1"/>
    </font>
    <font>
      <sz val="10"/>
      <name val="Inherit"/>
    </font>
    <font>
      <b/>
      <sz val="10"/>
      <name val="Inherit"/>
    </font>
    <font>
      <sz val="10"/>
      <color rgb="FF2C2C2C"/>
      <name val="Arial"/>
      <family val="2"/>
    </font>
    <font>
      <i/>
      <sz val="9"/>
      <name val="Inherit"/>
    </font>
    <font>
      <b/>
      <sz val="8"/>
      <name val="Inherit"/>
    </font>
    <font>
      <i/>
      <sz val="8"/>
      <name val="Arial"/>
      <family val="2"/>
    </font>
  </fonts>
  <fills count="44">
    <fill>
      <patternFill patternType="none"/>
    </fill>
    <fill>
      <patternFill patternType="gray125"/>
    </fill>
    <fill>
      <patternFill patternType="solid">
        <fgColor rgb="FF000080"/>
        <bgColor rgb="FF000080"/>
      </patternFill>
    </fill>
    <fill>
      <patternFill patternType="solid">
        <fgColor rgb="FF783F04"/>
        <bgColor rgb="FF783F04"/>
      </patternFill>
    </fill>
    <fill>
      <patternFill patternType="solid">
        <fgColor rgb="FF993333"/>
        <bgColor rgb="FF993333"/>
      </patternFill>
    </fill>
    <fill>
      <patternFill patternType="solid">
        <fgColor rgb="FFDDDDDD"/>
        <bgColor rgb="FFDDDDDD"/>
      </patternFill>
    </fill>
    <fill>
      <patternFill patternType="solid">
        <fgColor rgb="FF741B47"/>
        <bgColor rgb="FF741B47"/>
      </patternFill>
    </fill>
    <fill>
      <patternFill patternType="solid">
        <fgColor rgb="FF134F5C"/>
        <bgColor rgb="FF134F5C"/>
      </patternFill>
    </fill>
    <fill>
      <patternFill patternType="solid">
        <fgColor rgb="FF990000"/>
        <bgColor rgb="FF990000"/>
      </patternFill>
    </fill>
    <fill>
      <patternFill patternType="solid">
        <fgColor rgb="FF1155CC"/>
        <bgColor rgb="FF1155CC"/>
      </patternFill>
    </fill>
    <fill>
      <patternFill patternType="solid">
        <fgColor rgb="FFBF9000"/>
        <bgColor rgb="FFBF9000"/>
      </patternFill>
    </fill>
    <fill>
      <patternFill patternType="solid">
        <fgColor rgb="FFD9EAD3"/>
        <bgColor rgb="FFD9EAD3"/>
      </patternFill>
    </fill>
    <fill>
      <patternFill patternType="solid">
        <fgColor rgb="FF38761D"/>
        <bgColor rgb="FF38761D"/>
      </patternFill>
    </fill>
    <fill>
      <patternFill patternType="solid">
        <fgColor rgb="FF45818E"/>
        <bgColor rgb="FF45818E"/>
      </patternFill>
    </fill>
    <fill>
      <patternFill patternType="solid">
        <fgColor rgb="FFF5F5F5"/>
        <bgColor rgb="FFF5F5F5"/>
      </patternFill>
    </fill>
    <fill>
      <patternFill patternType="solid">
        <fgColor rgb="FFFFFFFF"/>
        <bgColor rgb="FFFFFFFF"/>
      </patternFill>
    </fill>
    <fill>
      <patternFill patternType="solid">
        <fgColor rgb="FFEAEAEA"/>
        <bgColor rgb="FFEAEAEA"/>
      </patternFill>
    </fill>
    <fill>
      <patternFill patternType="solid">
        <fgColor rgb="FFEDF4FA"/>
        <bgColor rgb="FFEDF4FA"/>
      </patternFill>
    </fill>
    <fill>
      <patternFill patternType="solid">
        <fgColor rgb="FFB6D7A8"/>
        <bgColor rgb="FFB6D7A8"/>
      </patternFill>
    </fill>
    <fill>
      <patternFill patternType="solid">
        <fgColor rgb="FFFFE5E5"/>
        <bgColor rgb="FFFFE5E5"/>
      </patternFill>
    </fill>
    <fill>
      <patternFill patternType="solid">
        <fgColor rgb="FFCCEEFF"/>
        <bgColor rgb="FFCCEEFF"/>
      </patternFill>
    </fill>
    <fill>
      <patternFill patternType="solid">
        <fgColor rgb="FF93C47D"/>
        <bgColor rgb="FF93C47D"/>
      </patternFill>
    </fill>
    <fill>
      <patternFill patternType="solid">
        <fgColor rgb="FFF0E4D3"/>
        <bgColor rgb="FFF0E4D3"/>
      </patternFill>
    </fill>
    <fill>
      <patternFill patternType="solid">
        <fgColor rgb="FFF7F7F7"/>
        <bgColor rgb="FFF7F7F7"/>
      </patternFill>
    </fill>
    <fill>
      <patternFill patternType="solid">
        <fgColor rgb="FFF4CCCC"/>
        <bgColor rgb="FFF4CCCC"/>
      </patternFill>
    </fill>
    <fill>
      <patternFill patternType="solid">
        <fgColor rgb="FFFFFF00"/>
        <bgColor rgb="FFFFFF00"/>
      </patternFill>
    </fill>
    <fill>
      <patternFill patternType="solid">
        <fgColor rgb="FFE6EFFF"/>
        <bgColor rgb="FFE6EFFF"/>
      </patternFill>
    </fill>
    <fill>
      <patternFill patternType="solid">
        <fgColor rgb="FFD5A6BD"/>
        <bgColor rgb="FFD5A6BD"/>
      </patternFill>
    </fill>
    <fill>
      <patternFill patternType="solid">
        <fgColor rgb="FFEEE8AA"/>
        <bgColor rgb="FFEEE8AA"/>
      </patternFill>
    </fill>
    <fill>
      <patternFill patternType="solid">
        <fgColor rgb="FFF2F2F2"/>
        <bgColor rgb="FFF2F2F2"/>
      </patternFill>
    </fill>
    <fill>
      <patternFill patternType="solid">
        <fgColor rgb="FF2BB7DF"/>
        <bgColor rgb="FF2BB7DF"/>
      </patternFill>
    </fill>
    <fill>
      <patternFill patternType="solid">
        <fgColor rgb="FFE5F8FC"/>
        <bgColor rgb="FFE5F8FC"/>
      </patternFill>
    </fill>
    <fill>
      <patternFill patternType="solid">
        <fgColor rgb="FFA0A0A0"/>
        <bgColor rgb="FFA0A0A0"/>
      </patternFill>
    </fill>
    <fill>
      <patternFill patternType="solid">
        <fgColor rgb="FFFFF2CC"/>
        <bgColor rgb="FFFFF2CC"/>
      </patternFill>
    </fill>
    <fill>
      <patternFill patternType="solid">
        <fgColor rgb="FFEDEDEE"/>
        <bgColor rgb="FFEDEDEE"/>
      </patternFill>
    </fill>
    <fill>
      <patternFill patternType="solid">
        <fgColor rgb="FFEFF4F7"/>
        <bgColor rgb="FFEFF4F7"/>
      </patternFill>
    </fill>
    <fill>
      <patternFill patternType="solid">
        <fgColor rgb="FFF5EFE3"/>
        <bgColor rgb="FFF5EFE3"/>
      </patternFill>
    </fill>
    <fill>
      <patternFill patternType="solid">
        <fgColor rgb="FF6ACC99"/>
        <bgColor rgb="FF6ACC99"/>
      </patternFill>
    </fill>
    <fill>
      <patternFill patternType="solid">
        <fgColor rgb="FFD8D8D8"/>
        <bgColor rgb="FFD8D8D8"/>
      </patternFill>
    </fill>
    <fill>
      <patternFill patternType="solid">
        <fgColor rgb="FFEAD1DC"/>
        <bgColor rgb="FFEAD1DC"/>
      </patternFill>
    </fill>
    <fill>
      <patternFill patternType="solid">
        <fgColor rgb="FFD0E0E3"/>
        <bgColor rgb="FFD0E0E3"/>
      </patternFill>
    </fill>
    <fill>
      <patternFill patternType="solid">
        <fgColor rgb="FFDDEEFF"/>
        <bgColor rgb="FFDDEEFF"/>
      </patternFill>
    </fill>
    <fill>
      <patternFill patternType="solid">
        <fgColor rgb="FF001E61"/>
        <bgColor rgb="FF001E61"/>
      </patternFill>
    </fill>
    <fill>
      <patternFill patternType="solid">
        <fgColor rgb="FFF5FAFD"/>
        <bgColor rgb="FFF5FAFD"/>
      </patternFill>
    </fill>
  </fills>
  <borders count="19">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BABABA"/>
      </top>
      <bottom style="thin">
        <color rgb="FF000000"/>
      </bottom>
      <diagonal/>
    </border>
    <border>
      <left style="thin">
        <color rgb="FF000000"/>
      </left>
      <right/>
      <top/>
      <bottom style="medium">
        <color rgb="FF000000"/>
      </bottom>
      <diagonal/>
    </border>
    <border>
      <left/>
      <right/>
      <top/>
      <bottom style="double">
        <color rgb="FF000000"/>
      </bottom>
      <diagonal/>
    </border>
    <border>
      <left/>
      <right/>
      <top style="thin">
        <color rgb="FF000000"/>
      </top>
      <bottom style="double">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F5FAFD"/>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F58D59"/>
      </bottom>
      <diagonal/>
    </border>
  </borders>
  <cellStyleXfs count="1">
    <xf numFmtId="0" fontId="0" fillId="0" borderId="0"/>
  </cellStyleXfs>
  <cellXfs count="1090">
    <xf numFmtId="0" fontId="0" fillId="0" borderId="0" xfId="0" applyFont="1" applyAlignment="1"/>
    <xf numFmtId="0" fontId="1" fillId="2" borderId="0" xfId="0" applyFont="1" applyFill="1" applyAlignment="1"/>
    <xf numFmtId="0" fontId="2" fillId="2" borderId="0" xfId="0" applyFont="1" applyFill="1" applyAlignment="1">
      <alignment wrapText="1"/>
    </xf>
    <xf numFmtId="0" fontId="2" fillId="3" borderId="0" xfId="0" applyFont="1" applyFill="1" applyAlignment="1">
      <alignment horizontal="center" wrapText="1"/>
    </xf>
    <xf numFmtId="0" fontId="3" fillId="0" borderId="0" xfId="0" applyFont="1" applyAlignment="1"/>
    <xf numFmtId="164" fontId="2" fillId="3" borderId="0" xfId="0" applyNumberFormat="1" applyFont="1" applyFill="1" applyAlignment="1">
      <alignment horizontal="center" wrapText="1"/>
    </xf>
    <xf numFmtId="0" fontId="4" fillId="4" borderId="0" xfId="0" applyFont="1" applyFill="1" applyAlignment="1">
      <alignment horizontal="center"/>
    </xf>
    <xf numFmtId="2" fontId="2" fillId="3" borderId="0" xfId="0" applyNumberFormat="1" applyFont="1" applyFill="1" applyAlignment="1">
      <alignment horizontal="center" wrapText="1"/>
    </xf>
    <xf numFmtId="0" fontId="4" fillId="4" borderId="0" xfId="0" applyFont="1" applyFill="1" applyAlignment="1">
      <alignment horizontal="right"/>
    </xf>
    <xf numFmtId="165" fontId="2" fillId="3" borderId="0" xfId="0" applyNumberFormat="1" applyFont="1" applyFill="1" applyAlignment="1">
      <alignment horizontal="center" wrapText="1"/>
    </xf>
    <xf numFmtId="0" fontId="5" fillId="5" borderId="0" xfId="0" applyFont="1" applyFill="1" applyAlignment="1">
      <alignment horizontal="center"/>
    </xf>
    <xf numFmtId="0" fontId="2" fillId="3" borderId="0" xfId="0" applyFont="1" applyFill="1" applyAlignment="1">
      <alignment horizontal="center" wrapText="1"/>
    </xf>
    <xf numFmtId="0" fontId="6" fillId="0" borderId="0" xfId="0" applyFont="1" applyAlignment="1">
      <alignment horizontal="right"/>
    </xf>
    <xf numFmtId="165" fontId="2" fillId="6" borderId="0" xfId="0" applyNumberFormat="1" applyFont="1" applyFill="1" applyAlignment="1">
      <alignment horizontal="center" wrapText="1"/>
    </xf>
    <xf numFmtId="0" fontId="6" fillId="0" borderId="0" xfId="0" applyFont="1" applyAlignment="1">
      <alignment horizontal="right"/>
    </xf>
    <xf numFmtId="164" fontId="2" fillId="7" borderId="0" xfId="0" applyNumberFormat="1" applyFont="1" applyFill="1" applyAlignment="1">
      <alignment horizontal="center" wrapText="1"/>
    </xf>
    <xf numFmtId="0" fontId="2" fillId="8" borderId="0" xfId="0" applyFont="1" applyFill="1" applyAlignment="1">
      <alignment wrapText="1"/>
    </xf>
    <xf numFmtId="164" fontId="2" fillId="9" borderId="0" xfId="0" applyNumberFormat="1" applyFont="1" applyFill="1" applyAlignment="1">
      <alignment horizontal="center" wrapText="1"/>
    </xf>
    <xf numFmtId="165" fontId="2" fillId="8" borderId="0" xfId="0" applyNumberFormat="1" applyFont="1" applyFill="1" applyAlignment="1">
      <alignment wrapText="1"/>
    </xf>
    <xf numFmtId="164" fontId="2" fillId="10" borderId="0" xfId="0" applyNumberFormat="1" applyFont="1" applyFill="1" applyAlignment="1">
      <alignment horizontal="center" wrapText="1"/>
    </xf>
    <xf numFmtId="0" fontId="7" fillId="0" borderId="0" xfId="0" applyFont="1" applyAlignment="1"/>
    <xf numFmtId="0" fontId="2" fillId="10" borderId="0" xfId="0" applyFont="1" applyFill="1" applyAlignment="1">
      <alignment horizontal="center" wrapText="1"/>
    </xf>
    <xf numFmtId="0" fontId="8" fillId="11" borderId="0" xfId="0" applyFont="1" applyFill="1" applyAlignment="1">
      <alignment horizontal="right"/>
    </xf>
    <xf numFmtId="165" fontId="2" fillId="12" borderId="0" xfId="0" applyNumberFormat="1" applyFont="1" applyFill="1" applyAlignment="1">
      <alignment horizontal="center" wrapText="1"/>
    </xf>
    <xf numFmtId="0" fontId="8" fillId="11" borderId="0" xfId="0" applyFont="1" applyFill="1" applyAlignment="1"/>
    <xf numFmtId="0" fontId="2" fillId="13" borderId="0" xfId="0" applyFont="1" applyFill="1" applyAlignment="1">
      <alignment horizontal="center" wrapText="1"/>
    </xf>
    <xf numFmtId="0" fontId="9" fillId="14" borderId="0" xfId="0" applyFont="1" applyFill="1" applyAlignment="1"/>
    <xf numFmtId="3" fontId="8" fillId="11" borderId="0" xfId="0" applyNumberFormat="1" applyFont="1" applyFill="1" applyAlignment="1">
      <alignment horizontal="right"/>
    </xf>
    <xf numFmtId="0" fontId="1" fillId="2" borderId="0" xfId="0" applyFont="1" applyFill="1" applyAlignment="1">
      <alignment wrapText="1"/>
    </xf>
    <xf numFmtId="0" fontId="9" fillId="14" borderId="0" xfId="0" applyFont="1" applyFill="1" applyAlignment="1">
      <alignment horizontal="center"/>
    </xf>
    <xf numFmtId="4" fontId="8" fillId="11" borderId="0" xfId="0" applyNumberFormat="1" applyFont="1" applyFill="1" applyAlignment="1">
      <alignment horizontal="right"/>
    </xf>
    <xf numFmtId="0" fontId="9" fillId="15" borderId="0" xfId="0" applyFont="1" applyFill="1" applyAlignment="1"/>
    <xf numFmtId="0" fontId="8" fillId="11" borderId="0" xfId="0" applyFont="1" applyFill="1" applyAlignment="1"/>
    <xf numFmtId="0" fontId="9" fillId="15" borderId="0" xfId="0" applyFont="1" applyFill="1" applyAlignment="1">
      <alignment horizontal="center"/>
    </xf>
    <xf numFmtId="0" fontId="3" fillId="11" borderId="0" xfId="0" applyFont="1" applyFill="1"/>
    <xf numFmtId="165" fontId="2" fillId="12" borderId="0" xfId="0" applyNumberFormat="1" applyFont="1" applyFill="1" applyAlignment="1">
      <alignment horizontal="center" wrapText="1"/>
    </xf>
    <xf numFmtId="0" fontId="9" fillId="16" borderId="0" xfId="0" applyFont="1" applyFill="1" applyAlignment="1"/>
    <xf numFmtId="0" fontId="2" fillId="12" borderId="0" xfId="0" applyFont="1" applyFill="1" applyAlignment="1">
      <alignment horizontal="center" wrapText="1"/>
    </xf>
    <xf numFmtId="0" fontId="9" fillId="16" borderId="0" xfId="0" applyFont="1" applyFill="1" applyAlignment="1">
      <alignment horizontal="center"/>
    </xf>
    <xf numFmtId="165" fontId="10" fillId="11" borderId="0" xfId="0" applyNumberFormat="1" applyFont="1" applyFill="1"/>
    <xf numFmtId="0" fontId="8" fillId="0" borderId="0" xfId="0" applyFont="1" applyAlignment="1">
      <alignment horizontal="right"/>
    </xf>
    <xf numFmtId="0" fontId="8" fillId="0" borderId="0" xfId="0" applyFont="1" applyAlignment="1"/>
    <xf numFmtId="166" fontId="10" fillId="11" borderId="0" xfId="0" applyNumberFormat="1" applyFont="1" applyFill="1"/>
    <xf numFmtId="164" fontId="3" fillId="0" borderId="0" xfId="0" applyNumberFormat="1" applyFont="1"/>
    <xf numFmtId="2" fontId="3" fillId="0" borderId="0" xfId="0" applyNumberFormat="1" applyFont="1" applyAlignment="1">
      <alignment horizontal="center"/>
    </xf>
    <xf numFmtId="165" fontId="3" fillId="0" borderId="0" xfId="0" applyNumberFormat="1" applyFont="1" applyAlignment="1">
      <alignment horizontal="center"/>
    </xf>
    <xf numFmtId="0" fontId="3" fillId="0" borderId="0" xfId="0" applyFont="1" applyAlignment="1">
      <alignment horizontal="center"/>
    </xf>
    <xf numFmtId="0" fontId="8" fillId="17" borderId="0" xfId="0" applyFont="1" applyFill="1" applyAlignment="1">
      <alignment horizontal="right"/>
    </xf>
    <xf numFmtId="0" fontId="3" fillId="0" borderId="0" xfId="0" applyFont="1" applyAlignment="1">
      <alignment horizontal="center"/>
    </xf>
    <xf numFmtId="0" fontId="8" fillId="17" borderId="0" xfId="0" applyFont="1" applyFill="1" applyAlignment="1"/>
    <xf numFmtId="165" fontId="3" fillId="0" borderId="0" xfId="0" applyNumberFormat="1" applyFont="1"/>
    <xf numFmtId="3" fontId="8" fillId="17" borderId="0" xfId="0" applyNumberFormat="1" applyFont="1" applyFill="1" applyAlignment="1">
      <alignment horizontal="right"/>
    </xf>
    <xf numFmtId="167" fontId="3" fillId="0" borderId="0" xfId="0" applyNumberFormat="1" applyFont="1"/>
    <xf numFmtId="1" fontId="8" fillId="17" borderId="0" xfId="0" applyNumberFormat="1" applyFont="1" applyFill="1" applyAlignment="1">
      <alignment horizontal="right"/>
    </xf>
    <xf numFmtId="0" fontId="3" fillId="11" borderId="0" xfId="0" applyFont="1" applyFill="1" applyAlignment="1"/>
    <xf numFmtId="0" fontId="8" fillId="17" borderId="0" xfId="0" applyFont="1" applyFill="1" applyAlignment="1"/>
    <xf numFmtId="168" fontId="11" fillId="11" borderId="0" xfId="0" applyNumberFormat="1" applyFont="1" applyFill="1" applyAlignment="1"/>
    <xf numFmtId="164" fontId="3" fillId="11" borderId="0" xfId="0" applyNumberFormat="1" applyFont="1" applyFill="1" applyAlignment="1"/>
    <xf numFmtId="165" fontId="3" fillId="17" borderId="0" xfId="0" applyNumberFormat="1" applyFont="1" applyFill="1"/>
    <xf numFmtId="169" fontId="3" fillId="11" borderId="0" xfId="0" applyNumberFormat="1" applyFont="1" applyFill="1"/>
    <xf numFmtId="0" fontId="3" fillId="17" borderId="0" xfId="0" applyFont="1" applyFill="1"/>
    <xf numFmtId="2" fontId="3" fillId="11" borderId="0" xfId="0" applyNumberFormat="1" applyFont="1" applyFill="1" applyAlignment="1">
      <alignment horizontal="center"/>
    </xf>
    <xf numFmtId="165" fontId="3" fillId="11" borderId="0" xfId="0" applyNumberFormat="1" applyFont="1" applyFill="1" applyAlignment="1">
      <alignment horizontal="center"/>
    </xf>
    <xf numFmtId="166" fontId="3" fillId="17" borderId="0" xfId="0" applyNumberFormat="1" applyFont="1" applyFill="1" applyAlignment="1"/>
    <xf numFmtId="0" fontId="3" fillId="11" borderId="0" xfId="0" applyFont="1" applyFill="1" applyAlignment="1">
      <alignment horizontal="center"/>
    </xf>
    <xf numFmtId="3" fontId="3" fillId="11" borderId="0" xfId="0" applyNumberFormat="1" applyFont="1" applyFill="1" applyAlignment="1">
      <alignment horizontal="center"/>
    </xf>
    <xf numFmtId="2" fontId="3" fillId="17" borderId="0" xfId="0" applyNumberFormat="1" applyFont="1" applyFill="1" applyAlignment="1"/>
    <xf numFmtId="3" fontId="3" fillId="11" borderId="0" xfId="0" applyNumberFormat="1" applyFont="1" applyFill="1" applyAlignment="1"/>
    <xf numFmtId="170" fontId="3" fillId="17" borderId="0" xfId="0" applyNumberFormat="1" applyFont="1" applyFill="1" applyAlignment="1"/>
    <xf numFmtId="3" fontId="12" fillId="11" borderId="0" xfId="0" applyNumberFormat="1" applyFont="1" applyFill="1" applyAlignment="1"/>
    <xf numFmtId="1" fontId="3" fillId="17" borderId="0" xfId="0" applyNumberFormat="1" applyFont="1" applyFill="1" applyAlignment="1"/>
    <xf numFmtId="0" fontId="3" fillId="0" borderId="1" xfId="0" applyFont="1" applyBorder="1" applyAlignment="1"/>
    <xf numFmtId="171" fontId="3" fillId="17" borderId="0" xfId="0" applyNumberFormat="1" applyFont="1" applyFill="1" applyAlignment="1"/>
    <xf numFmtId="0" fontId="3" fillId="0" borderId="0" xfId="0" applyFont="1" applyAlignment="1"/>
    <xf numFmtId="172" fontId="3" fillId="11" borderId="0" xfId="0" applyNumberFormat="1" applyFont="1" applyFill="1" applyAlignment="1"/>
    <xf numFmtId="165" fontId="10" fillId="0" borderId="0" xfId="0" applyNumberFormat="1" applyFont="1"/>
    <xf numFmtId="165" fontId="3" fillId="11" borderId="0" xfId="0" applyNumberFormat="1" applyFont="1" applyFill="1"/>
    <xf numFmtId="3" fontId="8" fillId="17" borderId="0" xfId="0" applyNumberFormat="1" applyFont="1" applyFill="1" applyAlignment="1"/>
    <xf numFmtId="0" fontId="13" fillId="11" borderId="0" xfId="0" applyFont="1" applyFill="1" applyAlignment="1"/>
    <xf numFmtId="173" fontId="3" fillId="0" borderId="0" xfId="0" applyNumberFormat="1" applyFont="1" applyAlignment="1"/>
    <xf numFmtId="168" fontId="14" fillId="11" borderId="0" xfId="0" applyNumberFormat="1" applyFont="1" applyFill="1" applyAlignment="1"/>
    <xf numFmtId="165" fontId="15" fillId="11" borderId="0" xfId="0" applyNumberFormat="1" applyFont="1" applyFill="1" applyAlignment="1">
      <alignment horizontal="center"/>
    </xf>
    <xf numFmtId="164" fontId="15" fillId="11" borderId="0" xfId="0" applyNumberFormat="1" applyFont="1" applyFill="1" applyAlignment="1">
      <alignment horizontal="right"/>
    </xf>
    <xf numFmtId="166" fontId="3" fillId="17" borderId="0" xfId="0" applyNumberFormat="1" applyFont="1" applyFill="1"/>
    <xf numFmtId="164" fontId="3" fillId="11" borderId="0" xfId="0" applyNumberFormat="1" applyFont="1" applyFill="1"/>
    <xf numFmtId="174" fontId="16" fillId="11" borderId="0" xfId="0" applyNumberFormat="1" applyFont="1" applyFill="1" applyAlignment="1"/>
    <xf numFmtId="164" fontId="17" fillId="11" borderId="0" xfId="0" applyNumberFormat="1" applyFont="1" applyFill="1" applyAlignment="1"/>
    <xf numFmtId="2" fontId="3" fillId="11" borderId="0" xfId="0" applyNumberFormat="1" applyFont="1" applyFill="1" applyAlignment="1">
      <alignment horizontal="center"/>
    </xf>
    <xf numFmtId="165" fontId="3" fillId="11" borderId="0" xfId="0" applyNumberFormat="1" applyFont="1" applyFill="1" applyAlignment="1">
      <alignment horizontal="center"/>
    </xf>
    <xf numFmtId="164" fontId="12" fillId="11" borderId="0" xfId="0" applyNumberFormat="1" applyFont="1" applyFill="1" applyAlignment="1"/>
    <xf numFmtId="164" fontId="18" fillId="11" borderId="0" xfId="0" applyNumberFormat="1" applyFont="1" applyFill="1" applyAlignment="1"/>
    <xf numFmtId="3" fontId="8" fillId="0" borderId="0" xfId="0" applyNumberFormat="1" applyFont="1" applyAlignment="1">
      <alignment horizontal="right"/>
    </xf>
    <xf numFmtId="0" fontId="19" fillId="0" borderId="0" xfId="0" applyFont="1" applyAlignment="1">
      <alignment horizontal="center"/>
    </xf>
    <xf numFmtId="0" fontId="8" fillId="0" borderId="0" xfId="0" applyFont="1" applyAlignment="1"/>
    <xf numFmtId="0" fontId="20" fillId="0" borderId="0" xfId="0" applyFont="1" applyAlignment="1">
      <alignment horizontal="center" vertical="top"/>
    </xf>
    <xf numFmtId="175" fontId="20" fillId="0" borderId="0" xfId="0" applyNumberFormat="1" applyFont="1" applyAlignment="1">
      <alignment horizontal="center" vertical="top"/>
    </xf>
    <xf numFmtId="166" fontId="3" fillId="0" borderId="0" xfId="0" applyNumberFormat="1" applyFont="1" applyAlignment="1"/>
    <xf numFmtId="10" fontId="21" fillId="0" borderId="0" xfId="0" applyNumberFormat="1" applyFont="1" applyAlignment="1">
      <alignment horizontal="center" vertical="top"/>
    </xf>
    <xf numFmtId="166" fontId="3" fillId="0" borderId="0" xfId="0" applyNumberFormat="1" applyFont="1"/>
    <xf numFmtId="10" fontId="22" fillId="0" borderId="0" xfId="0" applyNumberFormat="1" applyFont="1" applyAlignment="1">
      <alignment horizontal="center" vertical="top"/>
    </xf>
    <xf numFmtId="2" fontId="3" fillId="0" borderId="0" xfId="0" applyNumberFormat="1" applyFont="1" applyAlignment="1"/>
    <xf numFmtId="170" fontId="3" fillId="0" borderId="0" xfId="0" applyNumberFormat="1" applyFont="1" applyAlignment="1"/>
    <xf numFmtId="1" fontId="3" fillId="0" borderId="0" xfId="0" applyNumberFormat="1" applyFont="1" applyAlignment="1"/>
    <xf numFmtId="171" fontId="3" fillId="0" borderId="0" xfId="0" applyNumberFormat="1" applyFont="1" applyAlignment="1"/>
    <xf numFmtId="3" fontId="17" fillId="11" borderId="0" xfId="0" applyNumberFormat="1" applyFont="1" applyFill="1" applyAlignment="1"/>
    <xf numFmtId="0" fontId="3" fillId="0" borderId="2" xfId="0" applyFont="1" applyBorder="1" applyAlignment="1"/>
    <xf numFmtId="0" fontId="3" fillId="0" borderId="3" xfId="0" applyFont="1" applyBorder="1" applyAlignment="1"/>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12" fillId="15" borderId="0" xfId="0" applyFont="1" applyFill="1" applyAlignment="1"/>
    <xf numFmtId="0" fontId="12" fillId="11" borderId="0" xfId="0" applyFont="1" applyFill="1" applyAlignment="1"/>
    <xf numFmtId="0" fontId="3" fillId="0" borderId="6" xfId="0" applyFont="1" applyBorder="1"/>
    <xf numFmtId="0" fontId="3" fillId="0" borderId="7" xfId="0" applyFont="1" applyBorder="1"/>
    <xf numFmtId="0" fontId="3" fillId="0" borderId="8" xfId="0" applyFont="1" applyBorder="1"/>
    <xf numFmtId="0" fontId="12" fillId="15" borderId="3" xfId="0" applyFont="1" applyFill="1" applyBorder="1" applyAlignment="1"/>
    <xf numFmtId="169" fontId="3" fillId="0" borderId="0" xfId="0" applyNumberFormat="1" applyFont="1"/>
    <xf numFmtId="164" fontId="3" fillId="0" borderId="0" xfId="0" applyNumberFormat="1" applyFont="1" applyAlignment="1"/>
    <xf numFmtId="1" fontId="3" fillId="0" borderId="0" xfId="0" applyNumberFormat="1" applyFont="1" applyAlignment="1">
      <alignment horizontal="center"/>
    </xf>
    <xf numFmtId="168" fontId="16" fillId="11" borderId="0" xfId="0" applyNumberFormat="1" applyFont="1" applyFill="1" applyAlignment="1"/>
    <xf numFmtId="0" fontId="12" fillId="15" borderId="7" xfId="0" applyFont="1" applyFill="1" applyBorder="1" applyAlignment="1"/>
    <xf numFmtId="0" fontId="3" fillId="0" borderId="7" xfId="0" applyFont="1" applyBorder="1" applyAlignment="1"/>
    <xf numFmtId="165" fontId="3" fillId="18" borderId="0" xfId="0" applyNumberFormat="1" applyFont="1" applyFill="1" applyAlignment="1">
      <alignment horizontal="center"/>
    </xf>
    <xf numFmtId="164" fontId="12" fillId="15" borderId="3" xfId="0" applyNumberFormat="1" applyFont="1" applyFill="1" applyBorder="1" applyAlignment="1"/>
    <xf numFmtId="0" fontId="23" fillId="15" borderId="0" xfId="0" applyFont="1" applyFill="1" applyAlignment="1"/>
    <xf numFmtId="168" fontId="24" fillId="11" borderId="0" xfId="0" applyNumberFormat="1" applyFont="1" applyFill="1" applyAlignment="1">
      <alignment horizontal="center"/>
    </xf>
    <xf numFmtId="0" fontId="25" fillId="0" borderId="2" xfId="0" applyFont="1" applyBorder="1" applyAlignment="1"/>
    <xf numFmtId="0" fontId="25" fillId="0" borderId="3" xfId="0" applyFont="1" applyBorder="1"/>
    <xf numFmtId="0" fontId="25" fillId="0" borderId="4" xfId="0" applyFont="1" applyBorder="1"/>
    <xf numFmtId="0" fontId="25" fillId="0" borderId="1" xfId="0" applyFont="1" applyBorder="1" applyAlignment="1"/>
    <xf numFmtId="0" fontId="25" fillId="0" borderId="0" xfId="0" applyFont="1" applyAlignment="1"/>
    <xf numFmtId="0" fontId="25" fillId="0" borderId="5" xfId="0" applyFont="1" applyBorder="1" applyAlignment="1"/>
    <xf numFmtId="0" fontId="25" fillId="0" borderId="6" xfId="0" applyFont="1" applyBorder="1" applyAlignment="1"/>
    <xf numFmtId="3" fontId="8" fillId="0" borderId="0" xfId="0" applyNumberFormat="1" applyFont="1" applyAlignment="1"/>
    <xf numFmtId="0" fontId="25" fillId="0" borderId="7" xfId="0" applyFont="1" applyBorder="1" applyAlignment="1"/>
    <xf numFmtId="1" fontId="8" fillId="0" borderId="0" xfId="0" applyNumberFormat="1" applyFont="1" applyAlignment="1">
      <alignment horizontal="right"/>
    </xf>
    <xf numFmtId="0" fontId="25" fillId="0" borderId="8" xfId="0" applyFont="1" applyBorder="1" applyAlignment="1"/>
    <xf numFmtId="3" fontId="8" fillId="0" borderId="0" xfId="0" applyNumberFormat="1" applyFont="1" applyAlignment="1"/>
    <xf numFmtId="0" fontId="3" fillId="0" borderId="2" xfId="0" applyFont="1" applyBorder="1"/>
    <xf numFmtId="0" fontId="3" fillId="11" borderId="3" xfId="0" applyFont="1" applyFill="1" applyBorder="1" applyAlignment="1"/>
    <xf numFmtId="0" fontId="26" fillId="15" borderId="1" xfId="0" applyFont="1" applyFill="1" applyBorder="1" applyAlignment="1">
      <alignment horizontal="left"/>
    </xf>
    <xf numFmtId="0" fontId="27" fillId="0" borderId="0" xfId="0" applyFont="1" applyAlignment="1">
      <alignment horizontal="right"/>
    </xf>
    <xf numFmtId="0" fontId="26" fillId="11" borderId="0" xfId="0" applyFont="1" applyFill="1" applyAlignment="1">
      <alignment horizontal="right"/>
    </xf>
    <xf numFmtId="0" fontId="26" fillId="15" borderId="0" xfId="0" applyFont="1" applyFill="1" applyAlignment="1">
      <alignment horizontal="right"/>
    </xf>
    <xf numFmtId="3" fontId="27" fillId="18" borderId="0" xfId="0" applyNumberFormat="1" applyFont="1" applyFill="1" applyAlignment="1">
      <alignment horizontal="right"/>
    </xf>
    <xf numFmtId="0" fontId="3" fillId="11" borderId="7" xfId="0" applyFont="1" applyFill="1" applyBorder="1" applyAlignment="1"/>
    <xf numFmtId="0" fontId="28" fillId="0" borderId="6" xfId="0" applyFont="1" applyBorder="1" applyAlignment="1"/>
    <xf numFmtId="0" fontId="3" fillId="11" borderId="1" xfId="0" applyFont="1" applyFill="1" applyBorder="1" applyAlignment="1"/>
    <xf numFmtId="0" fontId="3" fillId="11" borderId="6" xfId="0" applyFont="1" applyFill="1" applyBorder="1" applyAlignment="1"/>
    <xf numFmtId="0" fontId="3" fillId="18" borderId="0" xfId="0" applyFont="1" applyFill="1" applyAlignment="1"/>
    <xf numFmtId="166" fontId="3" fillId="11" borderId="0" xfId="0" applyNumberFormat="1" applyFont="1" applyFill="1" applyAlignment="1">
      <alignment horizontal="center"/>
    </xf>
    <xf numFmtId="0" fontId="29" fillId="19" borderId="0" xfId="0" applyFont="1" applyFill="1" applyAlignment="1"/>
    <xf numFmtId="0" fontId="30" fillId="11" borderId="0" xfId="0" applyFont="1" applyFill="1" applyAlignment="1">
      <alignment horizontal="right"/>
    </xf>
    <xf numFmtId="0" fontId="29" fillId="19" borderId="0" xfId="0" applyFont="1" applyFill="1" applyAlignment="1">
      <alignment horizontal="right"/>
    </xf>
    <xf numFmtId="3" fontId="3" fillId="0" borderId="0" xfId="0" applyNumberFormat="1" applyFont="1" applyAlignment="1"/>
    <xf numFmtId="0" fontId="12" fillId="15" borderId="0" xfId="0" applyFont="1" applyFill="1" applyAlignment="1"/>
    <xf numFmtId="165" fontId="3" fillId="11" borderId="0" xfId="0" applyNumberFormat="1" applyFont="1" applyFill="1" applyAlignment="1"/>
    <xf numFmtId="1" fontId="8" fillId="0" borderId="0" xfId="0" applyNumberFormat="1" applyFont="1" applyAlignment="1"/>
    <xf numFmtId="1" fontId="3" fillId="0" borderId="0" xfId="0" applyNumberFormat="1" applyFont="1"/>
    <xf numFmtId="168" fontId="16" fillId="11" borderId="0" xfId="0" applyNumberFormat="1" applyFont="1" applyFill="1" applyAlignment="1"/>
    <xf numFmtId="3" fontId="12" fillId="11" borderId="0" xfId="0" applyNumberFormat="1" applyFont="1" applyFill="1" applyAlignment="1">
      <alignment horizontal="right"/>
    </xf>
    <xf numFmtId="3" fontId="14" fillId="11" borderId="0" xfId="0" applyNumberFormat="1" applyFont="1" applyFill="1" applyAlignment="1">
      <alignment horizontal="center"/>
    </xf>
    <xf numFmtId="0" fontId="3" fillId="11" borderId="0" xfId="0" applyFont="1" applyFill="1"/>
    <xf numFmtId="3" fontId="12" fillId="11" borderId="0" xfId="0" applyNumberFormat="1" applyFont="1" applyFill="1" applyAlignment="1"/>
    <xf numFmtId="176" fontId="3" fillId="11" borderId="0" xfId="0" applyNumberFormat="1" applyFont="1" applyFill="1"/>
    <xf numFmtId="0" fontId="3" fillId="0" borderId="0" xfId="0" applyFont="1" applyAlignment="1">
      <alignment wrapText="1"/>
    </xf>
    <xf numFmtId="0" fontId="12" fillId="15" borderId="0" xfId="0" applyFont="1" applyFill="1" applyAlignment="1"/>
    <xf numFmtId="0" fontId="31" fillId="15" borderId="9" xfId="0" applyFont="1" applyFill="1" applyBorder="1" applyAlignment="1">
      <alignment horizontal="right"/>
    </xf>
    <xf numFmtId="3" fontId="12" fillId="11" borderId="0" xfId="0" applyNumberFormat="1" applyFont="1" applyFill="1" applyAlignment="1"/>
    <xf numFmtId="3" fontId="12" fillId="20" borderId="0" xfId="0" applyNumberFormat="1" applyFont="1" applyFill="1" applyAlignment="1"/>
    <xf numFmtId="0" fontId="3" fillId="0" borderId="5" xfId="0" applyFont="1" applyBorder="1" applyAlignment="1">
      <alignment wrapText="1"/>
    </xf>
    <xf numFmtId="3" fontId="32" fillId="11" borderId="0" xfId="0" applyNumberFormat="1" applyFont="1" applyFill="1" applyAlignment="1">
      <alignment horizontal="right"/>
    </xf>
    <xf numFmtId="3" fontId="3" fillId="0" borderId="3" xfId="0" applyNumberFormat="1" applyFont="1" applyBorder="1" applyAlignment="1"/>
    <xf numFmtId="3" fontId="3" fillId="11" borderId="3" xfId="0" applyNumberFormat="1" applyFont="1" applyFill="1" applyBorder="1" applyAlignment="1"/>
    <xf numFmtId="0" fontId="6" fillId="0" borderId="3" xfId="0" applyFont="1" applyBorder="1" applyAlignment="1">
      <alignment horizontal="right"/>
    </xf>
    <xf numFmtId="176" fontId="3" fillId="11" borderId="3" xfId="0" applyNumberFormat="1" applyFont="1" applyFill="1" applyBorder="1"/>
    <xf numFmtId="4" fontId="31" fillId="15" borderId="9" xfId="0" applyNumberFormat="1" applyFont="1" applyFill="1" applyBorder="1" applyAlignment="1">
      <alignment horizontal="right"/>
    </xf>
    <xf numFmtId="3" fontId="33" fillId="11" borderId="0" xfId="0" applyNumberFormat="1" applyFont="1" applyFill="1" applyAlignment="1">
      <alignment horizontal="right"/>
    </xf>
    <xf numFmtId="3" fontId="15" fillId="20" borderId="0" xfId="0" applyNumberFormat="1" applyFont="1" applyFill="1" applyAlignment="1">
      <alignment horizontal="right"/>
    </xf>
    <xf numFmtId="0" fontId="34" fillId="20" borderId="0" xfId="0" applyFont="1" applyFill="1" applyAlignment="1">
      <alignment horizontal="center"/>
    </xf>
    <xf numFmtId="4" fontId="3" fillId="0" borderId="0" xfId="0" applyNumberFormat="1" applyFont="1" applyAlignment="1"/>
    <xf numFmtId="0" fontId="34" fillId="15" borderId="0" xfId="0" applyFont="1" applyFill="1" applyAlignment="1">
      <alignment horizontal="center"/>
    </xf>
    <xf numFmtId="175" fontId="3" fillId="0" borderId="0" xfId="0" applyNumberFormat="1" applyFont="1"/>
    <xf numFmtId="3" fontId="3" fillId="0" borderId="0" xfId="0" applyNumberFormat="1" applyFont="1"/>
    <xf numFmtId="3" fontId="3" fillId="11" borderId="0" xfId="0" applyNumberFormat="1" applyFont="1" applyFill="1"/>
    <xf numFmtId="3" fontId="34" fillId="20" borderId="0" xfId="0" applyNumberFormat="1" applyFont="1" applyFill="1" applyAlignment="1">
      <alignment horizontal="right"/>
    </xf>
    <xf numFmtId="0" fontId="35" fillId="15" borderId="0" xfId="0" applyFont="1" applyFill="1" applyAlignment="1">
      <alignment horizontal="center"/>
    </xf>
    <xf numFmtId="3" fontId="36" fillId="15" borderId="0" xfId="0" applyNumberFormat="1" applyFont="1" applyFill="1" applyAlignment="1">
      <alignment horizontal="right"/>
    </xf>
    <xf numFmtId="0" fontId="3" fillId="11" borderId="7" xfId="0" applyFont="1" applyFill="1" applyBorder="1"/>
    <xf numFmtId="0" fontId="37" fillId="15" borderId="3" xfId="0" applyFont="1" applyFill="1" applyBorder="1" applyAlignment="1">
      <alignment horizontal="right"/>
    </xf>
    <xf numFmtId="0" fontId="37" fillId="15" borderId="0" xfId="0" applyFont="1" applyFill="1" applyAlignment="1">
      <alignment horizontal="right"/>
    </xf>
    <xf numFmtId="0" fontId="3" fillId="0" borderId="0" xfId="0" applyFont="1"/>
    <xf numFmtId="0" fontId="36" fillId="20" borderId="0" xfId="0" applyFont="1" applyFill="1" applyAlignment="1">
      <alignment horizontal="center"/>
    </xf>
    <xf numFmtId="174" fontId="3" fillId="0" borderId="0" xfId="0" applyNumberFormat="1" applyFont="1" applyAlignment="1"/>
    <xf numFmtId="4" fontId="36" fillId="20" borderId="0" xfId="0" applyNumberFormat="1" applyFont="1" applyFill="1" applyAlignment="1">
      <alignment horizontal="right"/>
    </xf>
    <xf numFmtId="0" fontId="36" fillId="15" borderId="0" xfId="0" applyFont="1" applyFill="1" applyAlignment="1">
      <alignment horizontal="right"/>
    </xf>
    <xf numFmtId="0" fontId="34" fillId="15" borderId="0" xfId="0" applyFont="1" applyFill="1" applyAlignment="1">
      <alignment horizontal="center"/>
    </xf>
    <xf numFmtId="0" fontId="16" fillId="11" borderId="0" xfId="0" applyFont="1" applyFill="1" applyAlignment="1"/>
    <xf numFmtId="0" fontId="16" fillId="15" borderId="0" xfId="0" applyFont="1" applyFill="1" applyAlignment="1"/>
    <xf numFmtId="174" fontId="3" fillId="11" borderId="0" xfId="0" applyNumberFormat="1" applyFont="1" applyFill="1" applyAlignment="1"/>
    <xf numFmtId="0" fontId="15" fillId="20" borderId="0" xfId="0" applyFont="1" applyFill="1" applyAlignment="1">
      <alignment horizontal="center" vertical="top"/>
    </xf>
    <xf numFmtId="0" fontId="34" fillId="20" borderId="0" xfId="0" applyFont="1" applyFill="1" applyAlignment="1">
      <alignment horizontal="center"/>
    </xf>
    <xf numFmtId="3" fontId="36" fillId="18" borderId="0" xfId="0" applyNumberFormat="1" applyFont="1" applyFill="1" applyAlignment="1">
      <alignment horizontal="right"/>
    </xf>
    <xf numFmtId="0" fontId="34" fillId="18" borderId="0" xfId="0" applyFont="1" applyFill="1" applyAlignment="1">
      <alignment horizontal="center"/>
    </xf>
    <xf numFmtId="0" fontId="35" fillId="18" borderId="0" xfId="0" applyFont="1" applyFill="1" applyAlignment="1">
      <alignment horizontal="center"/>
    </xf>
    <xf numFmtId="3" fontId="3" fillId="11" borderId="0" xfId="0" applyNumberFormat="1" applyFont="1" applyFill="1" applyAlignment="1">
      <alignment horizontal="center"/>
    </xf>
    <xf numFmtId="0" fontId="3" fillId="18" borderId="0" xfId="0" applyFont="1" applyFill="1"/>
    <xf numFmtId="0" fontId="3" fillId="0" borderId="7" xfId="0" applyFont="1" applyBorder="1"/>
    <xf numFmtId="0" fontId="12" fillId="15" borderId="0" xfId="0" applyFont="1" applyFill="1" applyAlignment="1">
      <alignment wrapText="1"/>
    </xf>
    <xf numFmtId="0" fontId="38" fillId="15" borderId="3" xfId="0" applyFont="1" applyFill="1" applyBorder="1" applyAlignment="1">
      <alignment horizontal="right"/>
    </xf>
    <xf numFmtId="0" fontId="39" fillId="11" borderId="0" xfId="0" applyFont="1" applyFill="1" applyAlignment="1"/>
    <xf numFmtId="0" fontId="38" fillId="15" borderId="0" xfId="0" applyFont="1" applyFill="1" applyAlignment="1">
      <alignment horizontal="right"/>
    </xf>
    <xf numFmtId="0" fontId="15" fillId="20" borderId="0" xfId="0" applyFont="1" applyFill="1" applyAlignment="1">
      <alignment horizontal="center"/>
    </xf>
    <xf numFmtId="0" fontId="36" fillId="11" borderId="0" xfId="0" applyFont="1" applyFill="1" applyAlignment="1">
      <alignment horizontal="right"/>
    </xf>
    <xf numFmtId="0" fontId="15" fillId="15" borderId="0" xfId="0" applyFont="1" applyFill="1" applyAlignment="1">
      <alignment horizontal="center"/>
    </xf>
    <xf numFmtId="0" fontId="3" fillId="21" borderId="0" xfId="0" applyFont="1" applyFill="1" applyAlignment="1"/>
    <xf numFmtId="0" fontId="35" fillId="21" borderId="0" xfId="0" applyFont="1" applyFill="1" applyAlignment="1">
      <alignment horizontal="center"/>
    </xf>
    <xf numFmtId="0" fontId="3" fillId="21" borderId="7" xfId="0" applyFont="1" applyFill="1" applyBorder="1" applyAlignment="1"/>
    <xf numFmtId="1" fontId="3" fillId="11" borderId="0" xfId="0" applyNumberFormat="1" applyFont="1" applyFill="1" applyAlignment="1">
      <alignment horizontal="center"/>
    </xf>
    <xf numFmtId="3" fontId="40" fillId="15" borderId="3" xfId="0" applyNumberFormat="1" applyFont="1" applyFill="1" applyBorder="1" applyAlignment="1">
      <alignment horizontal="right"/>
    </xf>
    <xf numFmtId="0" fontId="41" fillId="17" borderId="0" xfId="0" applyFont="1" applyFill="1" applyAlignment="1">
      <alignment horizontal="right"/>
    </xf>
    <xf numFmtId="0" fontId="42" fillId="15" borderId="0" xfId="0" applyFont="1" applyFill="1" applyAlignment="1">
      <alignment vertical="top"/>
    </xf>
    <xf numFmtId="3" fontId="40" fillId="15" borderId="0" xfId="0" applyNumberFormat="1" applyFont="1" applyFill="1" applyAlignment="1">
      <alignment horizontal="right"/>
    </xf>
    <xf numFmtId="4" fontId="36" fillId="15" borderId="0" xfId="0" applyNumberFormat="1" applyFont="1" applyFill="1" applyAlignment="1">
      <alignment horizontal="right"/>
    </xf>
    <xf numFmtId="0" fontId="12" fillId="0" borderId="0" xfId="0" applyFont="1" applyAlignment="1"/>
    <xf numFmtId="0" fontId="16" fillId="20" borderId="0" xfId="0" applyFont="1" applyFill="1" applyAlignment="1"/>
    <xf numFmtId="3" fontId="15" fillId="20" borderId="0" xfId="0" applyNumberFormat="1" applyFont="1" applyFill="1" applyAlignment="1">
      <alignment horizontal="center"/>
    </xf>
    <xf numFmtId="0" fontId="15" fillId="20" borderId="0" xfId="0" applyFont="1" applyFill="1" applyAlignment="1">
      <alignment horizontal="center"/>
    </xf>
    <xf numFmtId="0" fontId="15" fillId="20" borderId="0" xfId="0" applyFont="1" applyFill="1" applyAlignment="1">
      <alignment horizontal="center"/>
    </xf>
    <xf numFmtId="0" fontId="16" fillId="15" borderId="0" xfId="0" applyFont="1" applyFill="1" applyAlignment="1"/>
    <xf numFmtId="3" fontId="35" fillId="15" borderId="0" xfId="0" applyNumberFormat="1" applyFont="1" applyFill="1" applyAlignment="1">
      <alignment horizontal="center"/>
    </xf>
    <xf numFmtId="0" fontId="3" fillId="0" borderId="4" xfId="0" applyFont="1" applyBorder="1" applyAlignment="1"/>
    <xf numFmtId="0" fontId="3" fillId="0" borderId="5" xfId="0" applyFont="1" applyBorder="1" applyAlignment="1"/>
    <xf numFmtId="0" fontId="3" fillId="21" borderId="7" xfId="0" applyFont="1" applyFill="1" applyBorder="1"/>
    <xf numFmtId="0" fontId="43" fillId="15" borderId="3" xfId="0" applyFont="1" applyFill="1" applyBorder="1" applyAlignment="1">
      <alignment horizontal="right"/>
    </xf>
    <xf numFmtId="164" fontId="44" fillId="11" borderId="0" xfId="0" applyNumberFormat="1" applyFont="1" applyFill="1" applyAlignment="1"/>
    <xf numFmtId="0" fontId="43" fillId="15" borderId="0" xfId="0" applyFont="1" applyFill="1" applyAlignment="1">
      <alignment horizontal="right"/>
    </xf>
    <xf numFmtId="0" fontId="3" fillId="0" borderId="1" xfId="0" applyFont="1" applyBorder="1" applyAlignment="1"/>
    <xf numFmtId="0" fontId="3" fillId="0" borderId="5" xfId="0" applyFont="1" applyBorder="1" applyAlignment="1"/>
    <xf numFmtId="4" fontId="45" fillId="22" borderId="0" xfId="0" applyNumberFormat="1" applyFont="1" applyFill="1" applyAlignment="1">
      <alignment horizontal="right"/>
    </xf>
    <xf numFmtId="0" fontId="31" fillId="17" borderId="5" xfId="0" applyFont="1" applyFill="1" applyBorder="1" applyAlignment="1">
      <alignment horizontal="right"/>
    </xf>
    <xf numFmtId="0" fontId="42" fillId="15" borderId="0" xfId="0" applyFont="1" applyFill="1" applyAlignment="1"/>
    <xf numFmtId="0" fontId="18" fillId="15" borderId="0" xfId="0" applyFont="1" applyFill="1" applyAlignment="1">
      <alignment horizontal="right"/>
    </xf>
    <xf numFmtId="0" fontId="36" fillId="20" borderId="0" xfId="0" applyFont="1" applyFill="1" applyAlignment="1">
      <alignment horizontal="right"/>
    </xf>
    <xf numFmtId="0" fontId="46" fillId="15" borderId="0" xfId="0" applyFont="1" applyFill="1" applyAlignment="1">
      <alignment horizontal="center"/>
    </xf>
    <xf numFmtId="0" fontId="3" fillId="11" borderId="5" xfId="0" applyFont="1" applyFill="1" applyBorder="1" applyAlignment="1"/>
    <xf numFmtId="0" fontId="46" fillId="15" borderId="1" xfId="0" applyFont="1" applyFill="1" applyBorder="1" applyAlignment="1">
      <alignment horizontal="center"/>
    </xf>
    <xf numFmtId="0" fontId="3" fillId="0" borderId="8" xfId="0" applyFont="1" applyBorder="1" applyAlignment="1"/>
    <xf numFmtId="0" fontId="3" fillId="11" borderId="6" xfId="0" applyFont="1" applyFill="1" applyBorder="1"/>
    <xf numFmtId="0" fontId="15" fillId="15" borderId="0" xfId="0" applyFont="1" applyFill="1" applyAlignment="1">
      <alignment horizontal="left" vertical="top"/>
    </xf>
    <xf numFmtId="0" fontId="41" fillId="15" borderId="0" xfId="0" applyFont="1" applyFill="1" applyAlignment="1">
      <alignment horizontal="right"/>
    </xf>
    <xf numFmtId="0" fontId="3" fillId="0" borderId="3" xfId="0" applyFont="1" applyBorder="1"/>
    <xf numFmtId="2" fontId="8" fillId="17" borderId="0" xfId="0" applyNumberFormat="1" applyFont="1" applyFill="1" applyAlignment="1">
      <alignment horizontal="right"/>
    </xf>
    <xf numFmtId="3" fontId="3" fillId="17" borderId="0" xfId="0" applyNumberFormat="1" applyFont="1" applyFill="1"/>
    <xf numFmtId="164" fontId="3" fillId="11" borderId="0" xfId="0" applyNumberFormat="1" applyFont="1" applyFill="1" applyAlignment="1">
      <alignment horizontal="center"/>
    </xf>
    <xf numFmtId="0" fontId="47" fillId="15" borderId="0" xfId="0" applyFont="1" applyFill="1" applyAlignment="1"/>
    <xf numFmtId="4" fontId="48" fillId="15" borderId="0" xfId="0" applyNumberFormat="1" applyFont="1" applyFill="1" applyAlignment="1">
      <alignment horizontal="center"/>
    </xf>
    <xf numFmtId="164" fontId="3" fillId="18" borderId="0" xfId="0" applyNumberFormat="1" applyFont="1" applyFill="1" applyAlignment="1"/>
    <xf numFmtId="0" fontId="35" fillId="15" borderId="0" xfId="0" applyFont="1" applyFill="1" applyAlignment="1">
      <alignment horizontal="center"/>
    </xf>
    <xf numFmtId="4" fontId="3" fillId="0" borderId="0" xfId="0" applyNumberFormat="1" applyFont="1"/>
    <xf numFmtId="0" fontId="33" fillId="20" borderId="0" xfId="0" applyFont="1" applyFill="1" applyAlignment="1">
      <alignment horizontal="center" vertical="top"/>
    </xf>
    <xf numFmtId="0" fontId="33" fillId="20" borderId="0" xfId="0" applyFont="1" applyFill="1" applyAlignment="1">
      <alignment horizontal="center"/>
    </xf>
    <xf numFmtId="0" fontId="49" fillId="20" borderId="0" xfId="0" applyFont="1" applyFill="1" applyAlignment="1">
      <alignment horizontal="right"/>
    </xf>
    <xf numFmtId="3" fontId="49" fillId="20" borderId="0" xfId="0" applyNumberFormat="1" applyFont="1" applyFill="1" applyAlignment="1">
      <alignment horizontal="right"/>
    </xf>
    <xf numFmtId="0" fontId="33" fillId="15" borderId="0" xfId="0" applyFont="1" applyFill="1" applyAlignment="1">
      <alignment horizontal="center" vertical="top"/>
    </xf>
    <xf numFmtId="0" fontId="33" fillId="15" borderId="0" xfId="0" applyFont="1" applyFill="1" applyAlignment="1">
      <alignment horizontal="center"/>
    </xf>
    <xf numFmtId="0" fontId="49" fillId="15" borderId="0" xfId="0" applyFont="1" applyFill="1" applyAlignment="1">
      <alignment horizontal="right"/>
    </xf>
    <xf numFmtId="1" fontId="3" fillId="17" borderId="0" xfId="0" applyNumberFormat="1" applyFont="1" applyFill="1"/>
    <xf numFmtId="0" fontId="50" fillId="15" borderId="0" xfId="0" applyFont="1" applyFill="1" applyAlignment="1">
      <alignment horizontal="center" vertical="top"/>
    </xf>
    <xf numFmtId="0" fontId="33" fillId="20" borderId="0" xfId="0" applyFont="1" applyFill="1" applyAlignment="1">
      <alignment horizontal="center"/>
    </xf>
    <xf numFmtId="0" fontId="42" fillId="23" borderId="0" xfId="0" applyFont="1" applyFill="1" applyAlignment="1"/>
    <xf numFmtId="0" fontId="3" fillId="0" borderId="7" xfId="0" applyFont="1" applyBorder="1" applyAlignment="1"/>
    <xf numFmtId="0" fontId="3" fillId="0" borderId="8" xfId="0" applyFont="1" applyBorder="1" applyAlignment="1"/>
    <xf numFmtId="0" fontId="51" fillId="15" borderId="0" xfId="0" applyFont="1" applyFill="1" applyAlignment="1"/>
    <xf numFmtId="0" fontId="52" fillId="15" borderId="0" xfId="0" applyFont="1" applyFill="1" applyAlignment="1"/>
    <xf numFmtId="0" fontId="53" fillId="15" borderId="0" xfId="0" applyFont="1" applyFill="1" applyAlignment="1">
      <alignment horizontal="center"/>
    </xf>
    <xf numFmtId="0" fontId="53" fillId="15" borderId="0" xfId="0" applyFont="1" applyFill="1" applyAlignment="1">
      <alignment horizontal="right"/>
    </xf>
    <xf numFmtId="164" fontId="54" fillId="0" borderId="0" xfId="0" applyNumberFormat="1" applyFont="1" applyAlignment="1"/>
    <xf numFmtId="0" fontId="53" fillId="15" borderId="0" xfId="0" applyFont="1" applyFill="1" applyAlignment="1">
      <alignment horizontal="center" vertical="top"/>
    </xf>
    <xf numFmtId="3" fontId="53" fillId="15" borderId="0" xfId="0" applyNumberFormat="1" applyFont="1" applyFill="1" applyAlignment="1">
      <alignment horizontal="right"/>
    </xf>
    <xf numFmtId="9" fontId="53" fillId="15" borderId="0" xfId="0" applyNumberFormat="1" applyFont="1" applyFill="1" applyAlignment="1">
      <alignment horizontal="right"/>
    </xf>
    <xf numFmtId="0" fontId="53" fillId="15" borderId="0" xfId="0" applyFont="1" applyFill="1" applyAlignment="1">
      <alignment horizontal="center"/>
    </xf>
    <xf numFmtId="9" fontId="53" fillId="25" borderId="0" xfId="0" applyNumberFormat="1" applyFont="1" applyFill="1" applyAlignment="1">
      <alignment horizontal="right"/>
    </xf>
    <xf numFmtId="0" fontId="55" fillId="15" borderId="0" xfId="0" applyFont="1" applyFill="1" applyAlignment="1"/>
    <xf numFmtId="0" fontId="56" fillId="15" borderId="0" xfId="0" applyFont="1" applyFill="1" applyAlignment="1">
      <alignment horizontal="right"/>
    </xf>
    <xf numFmtId="175" fontId="20" fillId="0" borderId="0" xfId="0" applyNumberFormat="1" applyFont="1" applyAlignment="1">
      <alignment horizontal="center" vertical="top"/>
    </xf>
    <xf numFmtId="0" fontId="57" fillId="15" borderId="0" xfId="0" applyFont="1" applyFill="1" applyAlignment="1">
      <alignment horizontal="center"/>
    </xf>
    <xf numFmtId="0" fontId="57" fillId="15" borderId="0" xfId="0" applyFont="1" applyFill="1" applyAlignment="1">
      <alignment horizontal="right"/>
    </xf>
    <xf numFmtId="0" fontId="57" fillId="15" borderId="0" xfId="0" applyFont="1" applyFill="1" applyAlignment="1">
      <alignment horizontal="center"/>
    </xf>
    <xf numFmtId="0" fontId="57" fillId="20" borderId="0" xfId="0" applyFont="1" applyFill="1" applyAlignment="1">
      <alignment horizontal="center"/>
    </xf>
    <xf numFmtId="0" fontId="57" fillId="20" borderId="0" xfId="0" applyFont="1" applyFill="1" applyAlignment="1">
      <alignment horizontal="center"/>
    </xf>
    <xf numFmtId="3" fontId="57" fillId="20" borderId="0" xfId="0" applyNumberFormat="1" applyFont="1" applyFill="1" applyAlignment="1">
      <alignment horizontal="right" vertical="top"/>
    </xf>
    <xf numFmtId="0" fontId="57" fillId="20" borderId="0" xfId="0" applyFont="1" applyFill="1" applyAlignment="1">
      <alignment horizontal="right" vertical="top"/>
    </xf>
    <xf numFmtId="9" fontId="57" fillId="20" borderId="0" xfId="0" applyNumberFormat="1" applyFont="1" applyFill="1" applyAlignment="1">
      <alignment horizontal="right" vertical="top"/>
    </xf>
    <xf numFmtId="3" fontId="57" fillId="15" borderId="0" xfId="0" applyNumberFormat="1" applyFont="1" applyFill="1" applyAlignment="1">
      <alignment horizontal="center" vertical="top"/>
    </xf>
    <xf numFmtId="0" fontId="57" fillId="15" borderId="0" xfId="0" applyFont="1" applyFill="1" applyAlignment="1">
      <alignment horizontal="center" vertical="top"/>
    </xf>
    <xf numFmtId="9" fontId="57" fillId="15" borderId="0" xfId="0" applyNumberFormat="1" applyFont="1" applyFill="1" applyAlignment="1">
      <alignment horizontal="center" vertical="top"/>
    </xf>
    <xf numFmtId="168" fontId="14" fillId="11" borderId="0" xfId="0" applyNumberFormat="1" applyFont="1" applyFill="1" applyAlignment="1"/>
    <xf numFmtId="9" fontId="57" fillId="25" borderId="0" xfId="0" applyNumberFormat="1" applyFont="1" applyFill="1" applyAlignment="1">
      <alignment horizontal="right" vertical="top"/>
    </xf>
    <xf numFmtId="3" fontId="15" fillId="11" borderId="0" xfId="0" applyNumberFormat="1" applyFont="1" applyFill="1" applyAlignment="1">
      <alignment horizontal="right"/>
    </xf>
    <xf numFmtId="0" fontId="58" fillId="15" borderId="0" xfId="0" applyFont="1" applyFill="1" applyAlignment="1"/>
    <xf numFmtId="0" fontId="3" fillId="11" borderId="0" xfId="0" applyFont="1" applyFill="1" applyAlignment="1">
      <alignment horizontal="right"/>
    </xf>
    <xf numFmtId="0" fontId="58" fillId="15" borderId="7" xfId="0" applyFont="1" applyFill="1" applyBorder="1" applyAlignment="1"/>
    <xf numFmtId="3" fontId="3" fillId="11" borderId="0" xfId="0" applyNumberFormat="1" applyFont="1" applyFill="1" applyAlignment="1">
      <alignment horizontal="right"/>
    </xf>
    <xf numFmtId="1" fontId="3" fillId="11" borderId="0" xfId="0" applyNumberFormat="1" applyFont="1" applyFill="1" applyAlignment="1"/>
    <xf numFmtId="175" fontId="3" fillId="0" borderId="0" xfId="0" applyNumberFormat="1" applyFont="1" applyAlignment="1"/>
    <xf numFmtId="175" fontId="3" fillId="11" borderId="0" xfId="0" applyNumberFormat="1" applyFont="1" applyFill="1"/>
    <xf numFmtId="0" fontId="53" fillId="20" borderId="1" xfId="0" applyFont="1" applyFill="1" applyBorder="1" applyAlignment="1">
      <alignment horizontal="center" vertical="top"/>
    </xf>
    <xf numFmtId="3" fontId="53" fillId="20" borderId="0" xfId="0" applyNumberFormat="1" applyFont="1" applyFill="1" applyAlignment="1">
      <alignment horizontal="right"/>
    </xf>
    <xf numFmtId="0" fontId="53" fillId="20" borderId="0" xfId="0" applyFont="1" applyFill="1" applyAlignment="1">
      <alignment horizontal="right"/>
    </xf>
    <xf numFmtId="0" fontId="59" fillId="0" borderId="1" xfId="0" applyFont="1" applyBorder="1" applyAlignment="1"/>
    <xf numFmtId="0" fontId="60" fillId="15" borderId="1" xfId="0" applyFont="1" applyFill="1" applyBorder="1" applyAlignment="1"/>
    <xf numFmtId="0" fontId="53" fillId="20" borderId="0" xfId="0" applyFont="1" applyFill="1" applyAlignment="1">
      <alignment horizontal="center" vertical="top"/>
    </xf>
    <xf numFmtId="0" fontId="53" fillId="20" borderId="0" xfId="0" applyFont="1" applyFill="1" applyAlignment="1">
      <alignment horizontal="center"/>
    </xf>
    <xf numFmtId="9" fontId="53" fillId="20" borderId="0" xfId="0" applyNumberFormat="1" applyFont="1" applyFill="1" applyAlignment="1">
      <alignment horizontal="right"/>
    </xf>
    <xf numFmtId="0" fontId="58" fillId="15" borderId="1" xfId="0" applyFont="1" applyFill="1" applyBorder="1" applyAlignment="1"/>
    <xf numFmtId="0" fontId="61" fillId="15" borderId="1" xfId="0" applyFont="1" applyFill="1" applyBorder="1" applyAlignment="1">
      <alignment horizontal="left" vertical="top"/>
    </xf>
    <xf numFmtId="0" fontId="58" fillId="15" borderId="0" xfId="0" applyFont="1" applyFill="1" applyAlignment="1">
      <alignment vertical="top"/>
    </xf>
    <xf numFmtId="0" fontId="58" fillId="15" borderId="0" xfId="0" applyFont="1" applyFill="1" applyAlignment="1">
      <alignment vertical="top"/>
    </xf>
    <xf numFmtId="0" fontId="58" fillId="15" borderId="1" xfId="0" applyFont="1" applyFill="1" applyBorder="1"/>
    <xf numFmtId="0" fontId="58" fillId="15" borderId="6" xfId="0" applyFont="1" applyFill="1" applyBorder="1" applyAlignment="1"/>
    <xf numFmtId="0" fontId="62" fillId="15" borderId="0" xfId="0" applyFont="1" applyFill="1" applyAlignment="1">
      <alignment horizontal="right"/>
    </xf>
    <xf numFmtId="0" fontId="62" fillId="20" borderId="0" xfId="0" applyFont="1" applyFill="1" applyAlignment="1">
      <alignment horizontal="center" vertical="top"/>
    </xf>
    <xf numFmtId="3" fontId="62" fillId="20" borderId="0" xfId="0" applyNumberFormat="1" applyFont="1" applyFill="1" applyAlignment="1">
      <alignment horizontal="right"/>
    </xf>
    <xf numFmtId="0" fontId="62" fillId="20" borderId="0" xfId="0" applyFont="1" applyFill="1" applyAlignment="1">
      <alignment horizontal="right"/>
    </xf>
    <xf numFmtId="3" fontId="34" fillId="11" borderId="0" xfId="0" applyNumberFormat="1" applyFont="1" applyFill="1" applyAlignment="1">
      <alignment horizontal="right"/>
    </xf>
    <xf numFmtId="9" fontId="62" fillId="20" borderId="0" xfId="0" applyNumberFormat="1" applyFont="1" applyFill="1" applyAlignment="1">
      <alignment horizontal="right"/>
    </xf>
    <xf numFmtId="176" fontId="62" fillId="20" borderId="0" xfId="0" applyNumberFormat="1" applyFont="1" applyFill="1" applyAlignment="1">
      <alignment horizontal="right"/>
    </xf>
    <xf numFmtId="0" fontId="62" fillId="15" borderId="0" xfId="0" applyFont="1" applyFill="1" applyAlignment="1">
      <alignment horizontal="center" vertical="top"/>
    </xf>
    <xf numFmtId="3" fontId="62" fillId="15" borderId="0" xfId="0" applyNumberFormat="1" applyFont="1" applyFill="1" applyAlignment="1">
      <alignment horizontal="right"/>
    </xf>
    <xf numFmtId="9" fontId="62" fillId="15" borderId="0" xfId="0" applyNumberFormat="1" applyFont="1" applyFill="1" applyAlignment="1">
      <alignment horizontal="right"/>
    </xf>
    <xf numFmtId="164" fontId="3" fillId="24" borderId="0" xfId="0" applyNumberFormat="1" applyFont="1" applyFill="1" applyAlignment="1"/>
    <xf numFmtId="176" fontId="62" fillId="15" borderId="0" xfId="0" applyNumberFormat="1" applyFont="1" applyFill="1" applyAlignment="1">
      <alignment horizontal="right"/>
    </xf>
    <xf numFmtId="0" fontId="63" fillId="15" borderId="0" xfId="0" applyFont="1" applyFill="1" applyAlignment="1"/>
    <xf numFmtId="0" fontId="64" fillId="0" borderId="7" xfId="0" applyFont="1" applyBorder="1" applyAlignment="1"/>
    <xf numFmtId="0" fontId="6" fillId="15" borderId="1" xfId="0" applyFont="1" applyFill="1" applyBorder="1" applyAlignment="1">
      <alignment horizontal="left" vertical="top"/>
    </xf>
    <xf numFmtId="0" fontId="62" fillId="15" borderId="0" xfId="0" applyFont="1" applyFill="1" applyAlignment="1">
      <alignment horizontal="center"/>
    </xf>
    <xf numFmtId="0" fontId="62" fillId="15" borderId="0" xfId="0" applyFont="1" applyFill="1" applyAlignment="1">
      <alignment horizontal="right"/>
    </xf>
    <xf numFmtId="0" fontId="65" fillId="15" borderId="0" xfId="0" applyFont="1" applyFill="1" applyAlignment="1">
      <alignment horizontal="center"/>
    </xf>
    <xf numFmtId="0" fontId="62" fillId="20" borderId="0" xfId="0" applyFont="1" applyFill="1" applyAlignment="1">
      <alignment horizontal="center" vertical="top"/>
    </xf>
    <xf numFmtId="0" fontId="62" fillId="20" borderId="0" xfId="0" applyFont="1" applyFill="1" applyAlignment="1">
      <alignment horizontal="center"/>
    </xf>
    <xf numFmtId="3" fontId="62" fillId="20" borderId="0" xfId="0" applyNumberFormat="1" applyFont="1" applyFill="1" applyAlignment="1">
      <alignment horizontal="right"/>
    </xf>
    <xf numFmtId="176" fontId="62" fillId="20" borderId="0" xfId="0" applyNumberFormat="1" applyFont="1" applyFill="1" applyAlignment="1">
      <alignment horizontal="right"/>
    </xf>
    <xf numFmtId="0" fontId="12" fillId="11" borderId="0" xfId="0" applyFont="1" applyFill="1" applyAlignment="1"/>
    <xf numFmtId="9" fontId="62" fillId="20" borderId="0" xfId="0" applyNumberFormat="1" applyFont="1" applyFill="1" applyAlignment="1">
      <alignment horizontal="right"/>
    </xf>
    <xf numFmtId="3" fontId="12" fillId="26" borderId="0" xfId="0" applyNumberFormat="1" applyFont="1" applyFill="1" applyAlignment="1"/>
    <xf numFmtId="0" fontId="62" fillId="15" borderId="0" xfId="0" applyFont="1" applyFill="1" applyAlignment="1">
      <alignment horizontal="center" vertical="top"/>
    </xf>
    <xf numFmtId="3" fontId="12" fillId="15" borderId="0" xfId="0" applyNumberFormat="1" applyFont="1" applyFill="1" applyAlignment="1"/>
    <xf numFmtId="3" fontId="62" fillId="15" borderId="0" xfId="0" applyNumberFormat="1" applyFont="1" applyFill="1" applyAlignment="1">
      <alignment horizontal="right"/>
    </xf>
    <xf numFmtId="3" fontId="16" fillId="15" borderId="0" xfId="0" applyNumberFormat="1" applyFont="1" applyFill="1" applyAlignment="1">
      <alignment horizontal="right"/>
    </xf>
    <xf numFmtId="9" fontId="62" fillId="15" borderId="0" xfId="0" applyNumberFormat="1" applyFont="1" applyFill="1" applyAlignment="1">
      <alignment horizontal="right"/>
    </xf>
    <xf numFmtId="0" fontId="12" fillId="26" borderId="0" xfId="0" applyFont="1" applyFill="1" applyAlignment="1"/>
    <xf numFmtId="0" fontId="12" fillId="15" borderId="0" xfId="0" applyFont="1" applyFill="1" applyAlignment="1"/>
    <xf numFmtId="0" fontId="62" fillId="20" borderId="0" xfId="0" applyFont="1" applyFill="1" applyAlignment="1">
      <alignment horizontal="right"/>
    </xf>
    <xf numFmtId="0" fontId="63" fillId="15" borderId="7" xfId="0" applyFont="1" applyFill="1" applyBorder="1" applyAlignment="1"/>
    <xf numFmtId="0" fontId="62" fillId="15" borderId="0" xfId="0" applyFont="1" applyFill="1" applyAlignment="1">
      <alignment horizontal="center"/>
    </xf>
    <xf numFmtId="0" fontId="66" fillId="15" borderId="0" xfId="0" applyFont="1" applyFill="1" applyAlignment="1">
      <alignment horizontal="center"/>
    </xf>
    <xf numFmtId="4" fontId="3" fillId="11" borderId="0" xfId="0" applyNumberFormat="1" applyFont="1" applyFill="1"/>
    <xf numFmtId="0" fontId="12" fillId="15" borderId="0" xfId="0" applyFont="1" applyFill="1" applyAlignment="1"/>
    <xf numFmtId="0" fontId="34" fillId="15" borderId="0" xfId="0" applyFont="1" applyFill="1" applyAlignment="1">
      <alignment horizontal="center"/>
    </xf>
    <xf numFmtId="0" fontId="34" fillId="20" borderId="0" xfId="0" applyFont="1" applyFill="1" applyAlignment="1">
      <alignment horizontal="center"/>
    </xf>
    <xf numFmtId="0" fontId="62" fillId="20" borderId="0" xfId="0" applyFont="1" applyFill="1" applyAlignment="1">
      <alignment horizontal="center"/>
    </xf>
    <xf numFmtId="0" fontId="3" fillId="11" borderId="5" xfId="0" applyFont="1" applyFill="1" applyBorder="1"/>
    <xf numFmtId="0" fontId="34" fillId="15" borderId="0" xfId="0" applyFont="1" applyFill="1" applyAlignment="1">
      <alignment horizontal="center" vertical="top"/>
    </xf>
    <xf numFmtId="3" fontId="62" fillId="15" borderId="0" xfId="0" applyNumberFormat="1" applyFont="1" applyFill="1" applyAlignment="1">
      <alignment horizontal="right"/>
    </xf>
    <xf numFmtId="0" fontId="34" fillId="15" borderId="0" xfId="0" applyFont="1" applyFill="1" applyAlignment="1">
      <alignment horizontal="center"/>
    </xf>
    <xf numFmtId="0" fontId="62" fillId="15" borderId="0" xfId="0" applyFont="1" applyFill="1" applyAlignment="1">
      <alignment horizontal="center"/>
    </xf>
    <xf numFmtId="0" fontId="36" fillId="15" borderId="0" xfId="0" applyFont="1" applyFill="1" applyAlignment="1">
      <alignment horizontal="center"/>
    </xf>
    <xf numFmtId="0" fontId="36" fillId="15" borderId="5" xfId="0" applyFont="1" applyFill="1" applyBorder="1" applyAlignment="1">
      <alignment horizontal="center"/>
    </xf>
    <xf numFmtId="0" fontId="36" fillId="15" borderId="0" xfId="0" applyFont="1" applyFill="1" applyAlignment="1">
      <alignment horizontal="center"/>
    </xf>
    <xf numFmtId="0" fontId="3" fillId="24" borderId="0" xfId="0" applyFont="1" applyFill="1" applyAlignment="1"/>
    <xf numFmtId="0" fontId="34" fillId="15" borderId="0" xfId="0" applyFont="1" applyFill="1" applyAlignment="1">
      <alignment horizontal="center"/>
    </xf>
    <xf numFmtId="0" fontId="62" fillId="15" borderId="5" xfId="0" applyFont="1" applyFill="1" applyBorder="1" applyAlignment="1">
      <alignment horizontal="right"/>
    </xf>
    <xf numFmtId="9" fontId="62" fillId="25" borderId="5" xfId="0" applyNumberFormat="1" applyFont="1" applyFill="1" applyBorder="1" applyAlignment="1">
      <alignment horizontal="right"/>
    </xf>
    <xf numFmtId="0" fontId="34" fillId="15" borderId="0" xfId="0" applyFont="1" applyFill="1" applyAlignment="1">
      <alignment horizontal="center"/>
    </xf>
    <xf numFmtId="0" fontId="12" fillId="15" borderId="7" xfId="0" applyFont="1" applyFill="1" applyBorder="1" applyAlignment="1"/>
    <xf numFmtId="0" fontId="67" fillId="0" borderId="3" xfId="0" applyFont="1" applyBorder="1" applyAlignment="1"/>
    <xf numFmtId="0" fontId="15" fillId="15" borderId="0" xfId="0" applyFont="1" applyFill="1" applyAlignment="1">
      <alignment horizontal="center" vertical="top"/>
    </xf>
    <xf numFmtId="3" fontId="15" fillId="11" borderId="0" xfId="0" applyNumberFormat="1" applyFont="1" applyFill="1" applyAlignment="1">
      <alignment horizontal="right"/>
    </xf>
    <xf numFmtId="0" fontId="68" fillId="0" borderId="2" xfId="0" applyFont="1" applyBorder="1" applyAlignment="1"/>
    <xf numFmtId="0" fontId="62" fillId="20" borderId="6" xfId="0" applyFont="1" applyFill="1" applyBorder="1" applyAlignment="1">
      <alignment horizontal="center" vertical="top"/>
    </xf>
    <xf numFmtId="0" fontId="34" fillId="20" borderId="7" xfId="0" applyFont="1" applyFill="1" applyBorder="1" applyAlignment="1">
      <alignment horizontal="center"/>
    </xf>
    <xf numFmtId="3" fontId="62" fillId="20" borderId="7" xfId="0" applyNumberFormat="1" applyFont="1" applyFill="1" applyBorder="1" applyAlignment="1">
      <alignment horizontal="right"/>
    </xf>
    <xf numFmtId="168" fontId="37" fillId="11" borderId="0" xfId="0" applyNumberFormat="1" applyFont="1" applyFill="1" applyAlignment="1"/>
    <xf numFmtId="0" fontId="62" fillId="20" borderId="7" xfId="0" applyFont="1" applyFill="1" applyBorder="1" applyAlignment="1">
      <alignment horizontal="center"/>
    </xf>
    <xf numFmtId="3" fontId="12" fillId="15" borderId="1" xfId="0" applyNumberFormat="1" applyFont="1" applyFill="1" applyBorder="1" applyAlignment="1">
      <alignment horizontal="right"/>
    </xf>
    <xf numFmtId="0" fontId="62" fillId="20" borderId="7" xfId="0" applyFont="1" applyFill="1" applyBorder="1" applyAlignment="1">
      <alignment horizontal="right"/>
    </xf>
    <xf numFmtId="1" fontId="3" fillId="11" borderId="0" xfId="0" applyNumberFormat="1" applyFont="1" applyFill="1" applyAlignment="1">
      <alignment horizontal="center"/>
    </xf>
    <xf numFmtId="9" fontId="62" fillId="25" borderId="7" xfId="0" applyNumberFormat="1" applyFont="1" applyFill="1" applyBorder="1" applyAlignment="1">
      <alignment horizontal="right"/>
    </xf>
    <xf numFmtId="164" fontId="61" fillId="18" borderId="0" xfId="0" applyNumberFormat="1" applyFont="1" applyFill="1" applyAlignment="1"/>
    <xf numFmtId="0" fontId="34" fillId="20" borderId="7" xfId="0" applyFont="1" applyFill="1" applyBorder="1" applyAlignment="1">
      <alignment horizontal="center"/>
    </xf>
    <xf numFmtId="3" fontId="16" fillId="15" borderId="1" xfId="0" applyNumberFormat="1" applyFont="1" applyFill="1" applyBorder="1" applyAlignment="1"/>
    <xf numFmtId="0" fontId="3" fillId="27" borderId="0" xfId="0" applyFont="1" applyFill="1" applyAlignment="1">
      <alignment horizontal="center"/>
    </xf>
    <xf numFmtId="0" fontId="15" fillId="15" borderId="10" xfId="0" applyFont="1" applyFill="1" applyBorder="1" applyAlignment="1">
      <alignment horizontal="left" vertical="top"/>
    </xf>
    <xf numFmtId="0" fontId="12" fillId="15" borderId="3" xfId="0" applyFont="1" applyFill="1" applyBorder="1" applyAlignment="1"/>
    <xf numFmtId="0" fontId="69" fillId="0" borderId="2" xfId="0" applyFont="1" applyBorder="1" applyAlignment="1"/>
    <xf numFmtId="3" fontId="70" fillId="28" borderId="0" xfId="0" applyNumberFormat="1" applyFont="1" applyFill="1" applyAlignment="1"/>
    <xf numFmtId="0" fontId="70" fillId="28" borderId="0" xfId="0" applyFont="1" applyFill="1" applyAlignment="1"/>
    <xf numFmtId="3" fontId="16" fillId="15" borderId="0" xfId="0" applyNumberFormat="1" applyFont="1" applyFill="1" applyAlignment="1"/>
    <xf numFmtId="0" fontId="16" fillId="15" borderId="0" xfId="0" applyFont="1" applyFill="1" applyAlignment="1"/>
    <xf numFmtId="168" fontId="71" fillId="11" borderId="0" xfId="0" applyNumberFormat="1" applyFont="1" applyFill="1" applyAlignment="1"/>
    <xf numFmtId="0" fontId="72" fillId="0" borderId="0" xfId="0" applyFont="1" applyAlignment="1">
      <alignment horizontal="center"/>
    </xf>
    <xf numFmtId="0" fontId="34" fillId="0" borderId="0" xfId="0" applyFont="1" applyAlignment="1"/>
    <xf numFmtId="0" fontId="72" fillId="0" borderId="7" xfId="0" applyFont="1" applyBorder="1" applyAlignment="1">
      <alignment horizontal="center"/>
    </xf>
    <xf numFmtId="0" fontId="73" fillId="20" borderId="0" xfId="0" applyFont="1" applyFill="1" applyAlignment="1"/>
    <xf numFmtId="0" fontId="34" fillId="20" borderId="0" xfId="0" applyFont="1" applyFill="1" applyAlignment="1"/>
    <xf numFmtId="3" fontId="73" fillId="20" borderId="0" xfId="0" applyNumberFormat="1" applyFont="1" applyFill="1" applyAlignment="1">
      <alignment horizontal="right"/>
    </xf>
    <xf numFmtId="0" fontId="73" fillId="20" borderId="3" xfId="0" applyFont="1" applyFill="1" applyBorder="1" applyAlignment="1">
      <alignment horizontal="right"/>
    </xf>
    <xf numFmtId="0" fontId="73" fillId="20" borderId="0" xfId="0" applyFont="1" applyFill="1" applyAlignment="1">
      <alignment horizontal="right"/>
    </xf>
    <xf numFmtId="0" fontId="73" fillId="0" borderId="0" xfId="0" applyFont="1" applyAlignment="1"/>
    <xf numFmtId="3" fontId="73" fillId="0" borderId="0" xfId="0" applyNumberFormat="1" applyFont="1" applyAlignment="1">
      <alignment horizontal="right"/>
    </xf>
    <xf numFmtId="0" fontId="73" fillId="0" borderId="0" xfId="0" applyFont="1" applyAlignment="1">
      <alignment horizontal="right"/>
    </xf>
    <xf numFmtId="3" fontId="73" fillId="20" borderId="7" xfId="0" applyNumberFormat="1" applyFont="1" applyFill="1" applyBorder="1" applyAlignment="1">
      <alignment horizontal="right"/>
    </xf>
    <xf numFmtId="164" fontId="52" fillId="11" borderId="0" xfId="0" applyNumberFormat="1" applyFont="1" applyFill="1" applyAlignment="1"/>
    <xf numFmtId="0" fontId="73" fillId="20" borderId="7" xfId="0" applyFont="1" applyFill="1" applyBorder="1" applyAlignment="1">
      <alignment horizontal="right"/>
    </xf>
    <xf numFmtId="3" fontId="73" fillId="0" borderId="11" xfId="0" applyNumberFormat="1" applyFont="1" applyBorder="1" applyAlignment="1">
      <alignment horizontal="right"/>
    </xf>
    <xf numFmtId="0" fontId="34" fillId="0" borderId="0" xfId="0" applyFont="1" applyAlignment="1"/>
    <xf numFmtId="3" fontId="16" fillId="29" borderId="0" xfId="0" applyNumberFormat="1" applyFont="1" applyFill="1" applyAlignment="1"/>
    <xf numFmtId="0" fontId="73" fillId="0" borderId="11" xfId="0" applyFont="1" applyBorder="1" applyAlignment="1"/>
    <xf numFmtId="0" fontId="16" fillId="29" borderId="0" xfId="0" applyFont="1" applyFill="1" applyAlignment="1"/>
    <xf numFmtId="0" fontId="73" fillId="0" borderId="12" xfId="0" applyFont="1" applyBorder="1" applyAlignment="1">
      <alignment horizontal="right"/>
    </xf>
    <xf numFmtId="0" fontId="73" fillId="0" borderId="11" xfId="0" applyFont="1" applyBorder="1" applyAlignment="1">
      <alignment horizontal="right"/>
    </xf>
    <xf numFmtId="0" fontId="48" fillId="15" borderId="0" xfId="0" applyFont="1" applyFill="1" applyAlignment="1">
      <alignment horizontal="center"/>
    </xf>
    <xf numFmtId="0" fontId="15" fillId="20" borderId="0" xfId="0" applyFont="1" applyFill="1" applyAlignment="1"/>
    <xf numFmtId="3" fontId="74" fillId="0" borderId="0" xfId="0" applyNumberFormat="1" applyFont="1" applyAlignment="1">
      <alignment horizontal="right"/>
    </xf>
    <xf numFmtId="0" fontId="76" fillId="0" borderId="0" xfId="0" applyFont="1" applyAlignment="1">
      <alignment horizontal="right"/>
    </xf>
    <xf numFmtId="0" fontId="77" fillId="15" borderId="0" xfId="0" applyFont="1" applyFill="1" applyAlignment="1">
      <alignment horizontal="right"/>
    </xf>
    <xf numFmtId="0" fontId="74" fillId="0" borderId="0" xfId="0" applyFont="1" applyAlignment="1">
      <alignment horizontal="right"/>
    </xf>
    <xf numFmtId="0" fontId="78" fillId="11" borderId="0" xfId="0" applyFont="1" applyFill="1" applyAlignment="1"/>
    <xf numFmtId="0" fontId="24" fillId="0" borderId="0" xfId="0" applyFont="1" applyAlignment="1"/>
    <xf numFmtId="3" fontId="79" fillId="0" borderId="0" xfId="0" applyNumberFormat="1" applyFont="1" applyAlignment="1">
      <alignment horizontal="right"/>
    </xf>
    <xf numFmtId="0" fontId="70" fillId="0" borderId="0" xfId="0" applyFont="1" applyAlignment="1"/>
    <xf numFmtId="164" fontId="47" fillId="11" borderId="0" xfId="0" applyNumberFormat="1" applyFont="1" applyFill="1" applyAlignment="1"/>
    <xf numFmtId="0" fontId="76" fillId="0" borderId="0" xfId="0" applyFont="1" applyAlignment="1">
      <alignment horizontal="center"/>
    </xf>
    <xf numFmtId="0" fontId="80" fillId="0" borderId="0" xfId="0" applyFont="1" applyAlignment="1">
      <alignment horizontal="center"/>
    </xf>
    <xf numFmtId="0" fontId="80" fillId="0" borderId="7" xfId="0" applyFont="1" applyBorder="1" applyAlignment="1">
      <alignment horizontal="center"/>
    </xf>
    <xf numFmtId="0" fontId="75" fillId="20" borderId="7" xfId="0" applyFont="1" applyFill="1" applyBorder="1" applyAlignment="1"/>
    <xf numFmtId="0" fontId="81" fillId="0" borderId="0" xfId="0" applyFont="1" applyAlignment="1"/>
    <xf numFmtId="0" fontId="70" fillId="20" borderId="7" xfId="0" applyFont="1" applyFill="1" applyBorder="1" applyAlignment="1"/>
    <xf numFmtId="3" fontId="75" fillId="20" borderId="7" xfId="0" applyNumberFormat="1" applyFont="1" applyFill="1" applyBorder="1" applyAlignment="1">
      <alignment horizontal="right"/>
    </xf>
    <xf numFmtId="0" fontId="75" fillId="20" borderId="13" xfId="0" applyFont="1" applyFill="1" applyBorder="1" applyAlignment="1">
      <alignment horizontal="right"/>
    </xf>
    <xf numFmtId="0" fontId="75" fillId="25" borderId="7" xfId="0" applyFont="1" applyFill="1" applyBorder="1" applyAlignment="1">
      <alignment horizontal="right"/>
    </xf>
    <xf numFmtId="0" fontId="82" fillId="0" borderId="0" xfId="0" applyFont="1"/>
    <xf numFmtId="0" fontId="75" fillId="20" borderId="0" xfId="0" applyFont="1" applyFill="1" applyAlignment="1"/>
    <xf numFmtId="0" fontId="70" fillId="20" borderId="0" xfId="0" applyFont="1" applyFill="1" applyAlignment="1"/>
    <xf numFmtId="3" fontId="75" fillId="20" borderId="0" xfId="0" applyNumberFormat="1" applyFont="1" applyFill="1" applyAlignment="1">
      <alignment horizontal="right"/>
    </xf>
    <xf numFmtId="0" fontId="75" fillId="20" borderId="3" xfId="0" applyFont="1" applyFill="1" applyBorder="1" applyAlignment="1">
      <alignment horizontal="right"/>
    </xf>
    <xf numFmtId="0" fontId="75" fillId="20" borderId="0" xfId="0" applyFont="1" applyFill="1" applyAlignment="1">
      <alignment horizontal="right"/>
    </xf>
    <xf numFmtId="0" fontId="75" fillId="0" borderId="0" xfId="0" applyFont="1" applyAlignment="1"/>
    <xf numFmtId="0" fontId="75" fillId="0" borderId="0" xfId="0" applyFont="1" applyAlignment="1">
      <alignment horizontal="right"/>
    </xf>
    <xf numFmtId="3" fontId="83" fillId="0" borderId="0" xfId="0" applyNumberFormat="1" applyFont="1" applyAlignment="1">
      <alignment horizontal="right"/>
    </xf>
    <xf numFmtId="164" fontId="34" fillId="11" borderId="0" xfId="0" applyNumberFormat="1" applyFont="1" applyFill="1" applyAlignment="1">
      <alignment horizontal="center"/>
    </xf>
    <xf numFmtId="0" fontId="75" fillId="0" borderId="7" xfId="0" applyFont="1" applyBorder="1" applyAlignment="1">
      <alignment horizontal="right"/>
    </xf>
    <xf numFmtId="0" fontId="76" fillId="0" borderId="0" xfId="0" applyFont="1" applyAlignment="1">
      <alignment horizontal="center"/>
    </xf>
    <xf numFmtId="164" fontId="84" fillId="11" borderId="0" xfId="0" applyNumberFormat="1" applyFont="1" applyFill="1" applyAlignment="1">
      <alignment horizontal="right"/>
    </xf>
    <xf numFmtId="3" fontId="75" fillId="20" borderId="11" xfId="0" applyNumberFormat="1" applyFont="1" applyFill="1" applyBorder="1" applyAlignment="1">
      <alignment horizontal="right"/>
    </xf>
    <xf numFmtId="3" fontId="76" fillId="0" borderId="0" xfId="0" applyNumberFormat="1" applyFont="1" applyAlignment="1">
      <alignment horizontal="right"/>
    </xf>
    <xf numFmtId="0" fontId="75" fillId="20" borderId="11" xfId="0" applyFont="1" applyFill="1" applyBorder="1" applyAlignment="1"/>
    <xf numFmtId="0" fontId="75" fillId="20" borderId="12" xfId="0" applyFont="1" applyFill="1" applyBorder="1" applyAlignment="1">
      <alignment horizontal="right"/>
    </xf>
    <xf numFmtId="0" fontId="81" fillId="0" borderId="0" xfId="0" applyFont="1" applyAlignment="1"/>
    <xf numFmtId="0" fontId="75" fillId="20" borderId="11" xfId="0" applyFont="1" applyFill="1" applyBorder="1" applyAlignment="1">
      <alignment horizontal="right"/>
    </xf>
    <xf numFmtId="0" fontId="6" fillId="30" borderId="0" xfId="0" applyFont="1" applyFill="1" applyAlignment="1">
      <alignment horizontal="right"/>
    </xf>
    <xf numFmtId="0" fontId="85" fillId="30" borderId="0" xfId="0" applyFont="1" applyFill="1" applyAlignment="1">
      <alignment horizontal="right"/>
    </xf>
    <xf numFmtId="0" fontId="86" fillId="30" borderId="0" xfId="0" applyFont="1" applyFill="1" applyAlignment="1">
      <alignment horizontal="right"/>
    </xf>
    <xf numFmtId="0" fontId="87" fillId="0" borderId="0" xfId="0" applyFont="1" applyAlignment="1"/>
    <xf numFmtId="0" fontId="87" fillId="0" borderId="0" xfId="0" applyFont="1"/>
    <xf numFmtId="0" fontId="88" fillId="0" borderId="0" xfId="0" applyFont="1" applyAlignment="1">
      <alignment horizontal="right"/>
    </xf>
    <xf numFmtId="0" fontId="89" fillId="0" borderId="0" xfId="0" applyFont="1" applyAlignment="1"/>
    <xf numFmtId="0" fontId="89" fillId="0" borderId="0" xfId="0" applyFont="1" applyAlignment="1">
      <alignment horizontal="right"/>
    </xf>
    <xf numFmtId="3" fontId="89" fillId="0" borderId="0" xfId="0" applyNumberFormat="1" applyFont="1" applyAlignment="1">
      <alignment horizontal="right"/>
    </xf>
    <xf numFmtId="0" fontId="77" fillId="0" borderId="0" xfId="0" applyFont="1" applyAlignment="1">
      <alignment horizontal="right"/>
    </xf>
    <xf numFmtId="4" fontId="90" fillId="15" borderId="0" xfId="0" applyNumberFormat="1" applyFont="1" applyFill="1" applyAlignment="1">
      <alignment horizontal="left"/>
    </xf>
    <xf numFmtId="0" fontId="76" fillId="0" borderId="0" xfId="0" applyFont="1" applyAlignment="1">
      <alignment horizontal="right"/>
    </xf>
    <xf numFmtId="3" fontId="76" fillId="31" borderId="0" xfId="0" applyNumberFormat="1" applyFont="1" applyFill="1" applyAlignment="1">
      <alignment horizontal="right"/>
    </xf>
    <xf numFmtId="0" fontId="76" fillId="31" borderId="0" xfId="0" applyFont="1" applyFill="1" applyAlignment="1">
      <alignment horizontal="right"/>
    </xf>
    <xf numFmtId="0" fontId="32" fillId="32" borderId="0" xfId="0" applyFont="1" applyFill="1" applyAlignment="1"/>
    <xf numFmtId="9" fontId="3" fillId="0" borderId="0" xfId="0" applyNumberFormat="1" applyFont="1" applyAlignment="1"/>
    <xf numFmtId="0" fontId="91" fillId="15" borderId="0" xfId="0" applyFont="1" applyFill="1" applyAlignment="1">
      <alignment horizontal="left"/>
    </xf>
    <xf numFmtId="0" fontId="3" fillId="33" borderId="0" xfId="0" applyFont="1" applyFill="1"/>
    <xf numFmtId="0" fontId="3" fillId="33" borderId="5" xfId="0" applyFont="1" applyFill="1" applyBorder="1" applyAlignment="1"/>
    <xf numFmtId="0" fontId="3" fillId="33" borderId="0" xfId="0" applyFont="1" applyFill="1" applyAlignment="1"/>
    <xf numFmtId="9" fontId="3" fillId="33" borderId="5" xfId="0" applyNumberFormat="1" applyFont="1" applyFill="1" applyBorder="1" applyAlignment="1"/>
    <xf numFmtId="168" fontId="23" fillId="11" borderId="0" xfId="0" applyNumberFormat="1" applyFont="1" applyFill="1" applyAlignment="1">
      <alignment horizontal="center"/>
    </xf>
    <xf numFmtId="3" fontId="3" fillId="0" borderId="2" xfId="0" applyNumberFormat="1" applyFont="1" applyBorder="1" applyAlignment="1"/>
    <xf numFmtId="3" fontId="92" fillId="11" borderId="0" xfId="0" applyNumberFormat="1" applyFont="1" applyFill="1" applyAlignment="1"/>
    <xf numFmtId="164" fontId="3" fillId="24" borderId="0" xfId="0" applyNumberFormat="1" applyFont="1" applyFill="1"/>
    <xf numFmtId="2" fontId="3" fillId="24" borderId="0" xfId="0" applyNumberFormat="1" applyFont="1" applyFill="1" applyAlignment="1">
      <alignment horizontal="center"/>
    </xf>
    <xf numFmtId="3" fontId="3" fillId="0" borderId="1" xfId="0" applyNumberFormat="1" applyFont="1" applyBorder="1" applyAlignment="1"/>
    <xf numFmtId="0" fontId="68" fillId="0" borderId="0" xfId="0" applyFont="1" applyAlignment="1"/>
    <xf numFmtId="0" fontId="3" fillId="25" borderId="0" xfId="0" applyFont="1" applyFill="1"/>
    <xf numFmtId="165" fontId="3" fillId="24" borderId="0" xfId="0" applyNumberFormat="1" applyFont="1" applyFill="1" applyAlignment="1">
      <alignment horizontal="center"/>
    </xf>
    <xf numFmtId="9" fontId="3" fillId="0" borderId="6" xfId="0" applyNumberFormat="1" applyFont="1" applyBorder="1" applyAlignment="1"/>
    <xf numFmtId="164" fontId="63" fillId="11" borderId="0" xfId="0" applyNumberFormat="1" applyFont="1" applyFill="1" applyAlignment="1"/>
    <xf numFmtId="3" fontId="32" fillId="32" borderId="0" xfId="0" applyNumberFormat="1" applyFont="1" applyFill="1" applyAlignment="1"/>
    <xf numFmtId="164" fontId="94" fillId="11" borderId="0" xfId="0" applyNumberFormat="1" applyFont="1" applyFill="1" applyAlignment="1"/>
    <xf numFmtId="4" fontId="15" fillId="20" borderId="0" xfId="0" applyNumberFormat="1" applyFont="1" applyFill="1" applyAlignment="1">
      <alignment horizontal="right"/>
    </xf>
    <xf numFmtId="0" fontId="32" fillId="0" borderId="0" xfId="0" applyFont="1" applyAlignment="1"/>
    <xf numFmtId="0" fontId="93" fillId="15" borderId="0" xfId="0" applyFont="1" applyFill="1" applyAlignment="1"/>
    <xf numFmtId="0" fontId="95" fillId="15" borderId="0" xfId="0" applyFont="1" applyFill="1"/>
    <xf numFmtId="164" fontId="12" fillId="11" borderId="0" xfId="0" applyNumberFormat="1" applyFont="1" applyFill="1" applyAlignment="1"/>
    <xf numFmtId="3" fontId="12" fillId="20" borderId="0" xfId="0" applyNumberFormat="1" applyFont="1" applyFill="1" applyAlignment="1"/>
    <xf numFmtId="4" fontId="15" fillId="0" borderId="0" xfId="0" applyNumberFormat="1" applyFont="1" applyAlignment="1">
      <alignment horizontal="right"/>
    </xf>
    <xf numFmtId="0" fontId="15" fillId="20" borderId="0" xfId="0" applyFont="1" applyFill="1" applyAlignment="1"/>
    <xf numFmtId="0" fontId="95" fillId="20" borderId="0" xfId="0" applyFont="1" applyFill="1" applyAlignment="1"/>
    <xf numFmtId="3" fontId="95" fillId="20" borderId="0" xfId="0" applyNumberFormat="1" applyFont="1" applyFill="1" applyAlignment="1">
      <alignment horizontal="right"/>
    </xf>
    <xf numFmtId="0" fontId="96" fillId="15" borderId="0" xfId="0" applyFont="1" applyFill="1" applyAlignment="1"/>
    <xf numFmtId="3" fontId="12" fillId="11" borderId="0" xfId="0" applyNumberFormat="1" applyFont="1" applyFill="1" applyAlignment="1"/>
    <xf numFmtId="0" fontId="90" fillId="15" borderId="0" xfId="0" applyFont="1" applyFill="1" applyAlignment="1">
      <alignment horizontal="left"/>
    </xf>
    <xf numFmtId="0" fontId="3" fillId="11" borderId="0" xfId="0" applyFont="1" applyFill="1" applyAlignment="1"/>
    <xf numFmtId="3" fontId="15" fillId="15" borderId="0" xfId="0" applyNumberFormat="1" applyFont="1" applyFill="1" applyAlignment="1">
      <alignment horizontal="right"/>
    </xf>
    <xf numFmtId="0" fontId="33" fillId="20" borderId="3" xfId="0" applyFont="1" applyFill="1" applyBorder="1" applyAlignment="1">
      <alignment horizontal="center" vertical="top"/>
    </xf>
    <xf numFmtId="0" fontId="34" fillId="20" borderId="3" xfId="0" applyFont="1" applyFill="1" applyBorder="1" applyAlignment="1">
      <alignment horizontal="center"/>
    </xf>
    <xf numFmtId="3" fontId="33" fillId="20" borderId="4" xfId="0" applyNumberFormat="1" applyFont="1" applyFill="1" applyBorder="1" applyAlignment="1">
      <alignment horizontal="right"/>
    </xf>
    <xf numFmtId="0" fontId="12" fillId="15" borderId="2" xfId="0" applyFont="1" applyFill="1" applyBorder="1" applyAlignment="1"/>
    <xf numFmtId="0" fontId="16" fillId="15" borderId="1" xfId="0" applyFont="1" applyFill="1" applyBorder="1" applyAlignment="1"/>
    <xf numFmtId="0" fontId="97" fillId="15" borderId="1" xfId="0" applyFont="1" applyFill="1" applyBorder="1"/>
    <xf numFmtId="0" fontId="98" fillId="15" borderId="6" xfId="0" applyFont="1" applyFill="1" applyBorder="1" applyAlignment="1"/>
    <xf numFmtId="0" fontId="68" fillId="0" borderId="1" xfId="0" applyFont="1" applyBorder="1" applyAlignment="1"/>
    <xf numFmtId="0" fontId="34" fillId="15" borderId="0" xfId="0" applyFont="1" applyFill="1" applyAlignment="1">
      <alignment horizontal="center"/>
    </xf>
    <xf numFmtId="4" fontId="12" fillId="15" borderId="0" xfId="0" applyNumberFormat="1" applyFont="1" applyFill="1" applyAlignment="1"/>
    <xf numFmtId="3" fontId="3" fillId="0" borderId="7" xfId="0" applyNumberFormat="1" applyFont="1" applyBorder="1" applyAlignment="1"/>
    <xf numFmtId="4" fontId="34" fillId="20" borderId="0" xfId="0" applyNumberFormat="1" applyFont="1" applyFill="1" applyAlignment="1">
      <alignment horizontal="right"/>
    </xf>
    <xf numFmtId="0" fontId="34" fillId="15" borderId="0" xfId="0" applyFont="1" applyFill="1" applyAlignment="1">
      <alignment horizontal="left" vertical="top"/>
    </xf>
    <xf numFmtId="3" fontId="57" fillId="15" borderId="0" xfId="0" applyNumberFormat="1" applyFont="1" applyFill="1" applyAlignment="1">
      <alignment horizontal="right"/>
    </xf>
    <xf numFmtId="0" fontId="50" fillId="15" borderId="0" xfId="0" applyFont="1" applyFill="1" applyAlignment="1">
      <alignment horizontal="right"/>
    </xf>
    <xf numFmtId="0" fontId="50" fillId="15" borderId="0" xfId="0" applyFont="1" applyFill="1" applyAlignment="1">
      <alignment horizontal="center"/>
    </xf>
    <xf numFmtId="3" fontId="33" fillId="20" borderId="0" xfId="0" applyNumberFormat="1" applyFont="1" applyFill="1" applyAlignment="1">
      <alignment horizontal="right"/>
    </xf>
    <xf numFmtId="0" fontId="52" fillId="15" borderId="1" xfId="0" applyFont="1" applyFill="1" applyBorder="1" applyAlignment="1"/>
    <xf numFmtId="0" fontId="15" fillId="15" borderId="1" xfId="0" applyFont="1" applyFill="1" applyBorder="1" applyAlignment="1">
      <alignment horizontal="center" vertical="top"/>
    </xf>
    <xf numFmtId="3" fontId="15" fillId="0" borderId="0" xfId="0" applyNumberFormat="1" applyFont="1" applyAlignment="1">
      <alignment horizontal="right"/>
    </xf>
    <xf numFmtId="3" fontId="15" fillId="0" borderId="5" xfId="0" applyNumberFormat="1" applyFont="1" applyBorder="1" applyAlignment="1">
      <alignment horizontal="right"/>
    </xf>
    <xf numFmtId="0" fontId="36" fillId="20" borderId="1" xfId="0" applyFont="1" applyFill="1" applyBorder="1" applyAlignment="1">
      <alignment horizontal="center" vertical="top"/>
    </xf>
    <xf numFmtId="0" fontId="34" fillId="0" borderId="0" xfId="0" applyFont="1" applyAlignment="1">
      <alignment horizontal="center"/>
    </xf>
    <xf numFmtId="0" fontId="34" fillId="0" borderId="5" xfId="0" applyFont="1" applyBorder="1" applyAlignment="1">
      <alignment horizontal="center"/>
    </xf>
    <xf numFmtId="4" fontId="15" fillId="0" borderId="5" xfId="0" applyNumberFormat="1" applyFont="1" applyBorder="1" applyAlignment="1">
      <alignment horizontal="right"/>
    </xf>
    <xf numFmtId="0" fontId="15" fillId="20" borderId="6" xfId="0" applyFont="1" applyFill="1" applyBorder="1" applyAlignment="1">
      <alignment horizontal="center" vertical="top"/>
    </xf>
    <xf numFmtId="4" fontId="15" fillId="0" borderId="7" xfId="0" applyNumberFormat="1" applyFont="1" applyBorder="1" applyAlignment="1">
      <alignment horizontal="right"/>
    </xf>
    <xf numFmtId="0" fontId="62" fillId="0" borderId="0" xfId="0" applyFont="1" applyAlignment="1">
      <alignment horizontal="right"/>
    </xf>
    <xf numFmtId="0" fontId="49" fillId="20" borderId="0" xfId="0" applyFont="1" applyFill="1" applyAlignment="1">
      <alignment horizontal="center" vertical="top"/>
    </xf>
    <xf numFmtId="0" fontId="49" fillId="20" borderId="0" xfId="0" applyFont="1" applyFill="1" applyAlignment="1">
      <alignment horizontal="center"/>
    </xf>
    <xf numFmtId="0" fontId="34" fillId="20" borderId="0" xfId="0" applyFont="1" applyFill="1" applyAlignment="1">
      <alignment horizontal="center" vertical="top"/>
    </xf>
    <xf numFmtId="3" fontId="50" fillId="20" borderId="0" xfId="0" applyNumberFormat="1" applyFont="1" applyFill="1" applyAlignment="1">
      <alignment horizontal="right"/>
    </xf>
    <xf numFmtId="3" fontId="57" fillId="20" borderId="0" xfId="0" applyNumberFormat="1" applyFont="1" applyFill="1" applyAlignment="1">
      <alignment horizontal="right"/>
    </xf>
    <xf numFmtId="3" fontId="57" fillId="20" borderId="5" xfId="0" applyNumberFormat="1" applyFont="1" applyFill="1" applyBorder="1" applyAlignment="1">
      <alignment horizontal="right"/>
    </xf>
    <xf numFmtId="0" fontId="57" fillId="15" borderId="5" xfId="0" applyFont="1" applyFill="1" applyBorder="1" applyAlignment="1">
      <alignment horizontal="right"/>
    </xf>
    <xf numFmtId="0" fontId="50" fillId="20" borderId="0" xfId="0" applyFont="1" applyFill="1" applyAlignment="1">
      <alignment horizontal="right"/>
    </xf>
    <xf numFmtId="0" fontId="57" fillId="20" borderId="0" xfId="0" applyFont="1" applyFill="1" applyAlignment="1">
      <alignment horizontal="right"/>
    </xf>
    <xf numFmtId="0" fontId="36" fillId="20" borderId="0" xfId="0" applyFont="1" applyFill="1" applyAlignment="1">
      <alignment horizontal="center" vertical="top"/>
    </xf>
    <xf numFmtId="0" fontId="57" fillId="20" borderId="5" xfId="0" applyFont="1" applyFill="1" applyBorder="1" applyAlignment="1">
      <alignment horizontal="right"/>
    </xf>
    <xf numFmtId="0" fontId="15" fillId="15" borderId="0" xfId="0" applyFont="1" applyFill="1" applyAlignment="1">
      <alignment horizontal="center" vertical="top"/>
    </xf>
    <xf numFmtId="0" fontId="15" fillId="20" borderId="0" xfId="0" applyFont="1" applyFill="1" applyAlignment="1">
      <alignment horizontal="right"/>
    </xf>
    <xf numFmtId="0" fontId="34" fillId="15" borderId="0" xfId="0" applyFont="1" applyFill="1" applyAlignment="1">
      <alignment vertical="top"/>
    </xf>
    <xf numFmtId="3" fontId="3" fillId="0" borderId="5" xfId="0" applyNumberFormat="1" applyFont="1" applyBorder="1"/>
    <xf numFmtId="0" fontId="8" fillId="33" borderId="0" xfId="0" applyFont="1" applyFill="1" applyAlignment="1">
      <alignment horizontal="right"/>
    </xf>
    <xf numFmtId="0" fontId="8" fillId="33" borderId="0" xfId="0" applyFont="1" applyFill="1" applyAlignment="1"/>
    <xf numFmtId="0" fontId="62" fillId="11" borderId="0" xfId="0" applyFont="1" applyFill="1" applyAlignment="1">
      <alignment horizontal="right"/>
    </xf>
    <xf numFmtId="0" fontId="99" fillId="15" borderId="0" xfId="0" applyFont="1" applyFill="1"/>
    <xf numFmtId="0" fontId="49" fillId="20" borderId="1" xfId="0" applyFont="1" applyFill="1" applyBorder="1" applyAlignment="1">
      <alignment horizontal="center"/>
    </xf>
    <xf numFmtId="0" fontId="12" fillId="15" borderId="0" xfId="0" applyFont="1" applyFill="1" applyAlignment="1">
      <alignment horizontal="left" vertical="top"/>
    </xf>
    <xf numFmtId="0" fontId="34" fillId="15" borderId="1" xfId="0" applyFont="1" applyFill="1" applyBorder="1" applyAlignment="1">
      <alignment horizontal="center" vertical="top"/>
    </xf>
    <xf numFmtId="0" fontId="99" fillId="15" borderId="0" xfId="0" applyFont="1" applyFill="1" applyAlignment="1">
      <alignment vertical="top"/>
    </xf>
    <xf numFmtId="0" fontId="34" fillId="20" borderId="1" xfId="0" applyFont="1" applyFill="1" applyBorder="1" applyAlignment="1">
      <alignment horizontal="center" vertical="top"/>
    </xf>
    <xf numFmtId="0" fontId="100" fillId="15" borderId="0" xfId="0" applyFont="1" applyFill="1" applyAlignment="1">
      <alignment horizontal="left" vertical="top"/>
    </xf>
    <xf numFmtId="0" fontId="34" fillId="15" borderId="1" xfId="0" applyFont="1" applyFill="1" applyBorder="1" applyAlignment="1">
      <alignment horizontal="center"/>
    </xf>
    <xf numFmtId="4" fontId="15" fillId="15" borderId="0" xfId="0" applyNumberFormat="1" applyFont="1" applyFill="1" applyAlignment="1">
      <alignment horizontal="right"/>
    </xf>
    <xf numFmtId="0" fontId="34" fillId="25" borderId="0" xfId="0" applyFont="1" applyFill="1" applyAlignment="1">
      <alignment horizontal="center"/>
    </xf>
    <xf numFmtId="0" fontId="32" fillId="15" borderId="1" xfId="0" applyFont="1" applyFill="1" applyBorder="1" applyAlignment="1"/>
    <xf numFmtId="3" fontId="15" fillId="20" borderId="1" xfId="0" applyNumberFormat="1" applyFont="1" applyFill="1" applyBorder="1" applyAlignment="1">
      <alignment horizontal="right"/>
    </xf>
    <xf numFmtId="0" fontId="34" fillId="15" borderId="6" xfId="0" applyFont="1" applyFill="1" applyBorder="1" applyAlignment="1">
      <alignment horizontal="center"/>
    </xf>
    <xf numFmtId="0" fontId="63" fillId="0" borderId="0" xfId="0" applyFont="1" applyAlignment="1"/>
    <xf numFmtId="3" fontId="84" fillId="0" borderId="0" xfId="0" applyNumberFormat="1" applyFont="1" applyAlignment="1">
      <alignment horizontal="right"/>
    </xf>
    <xf numFmtId="0" fontId="62" fillId="0" borderId="0" xfId="0" applyFont="1" applyAlignment="1">
      <alignment horizontal="left"/>
    </xf>
    <xf numFmtId="3" fontId="101" fillId="34" borderId="0" xfId="0" applyNumberFormat="1" applyFont="1" applyFill="1" applyAlignment="1"/>
    <xf numFmtId="0" fontId="102" fillId="11" borderId="0" xfId="0" applyFont="1" applyFill="1" applyAlignment="1">
      <alignment horizontal="right"/>
    </xf>
    <xf numFmtId="0" fontId="101" fillId="35" borderId="0" xfId="0" applyFont="1" applyFill="1" applyAlignment="1">
      <alignment horizontal="right"/>
    </xf>
    <xf numFmtId="3" fontId="102" fillId="0" borderId="0" xfId="0" applyNumberFormat="1" applyFont="1" applyAlignment="1">
      <alignment horizontal="right"/>
    </xf>
    <xf numFmtId="3" fontId="103" fillId="36" borderId="0" xfId="0" applyNumberFormat="1" applyFont="1" applyFill="1" applyAlignment="1"/>
    <xf numFmtId="0" fontId="15" fillId="0" borderId="0" xfId="0" applyFont="1" applyAlignment="1">
      <alignment horizontal="left"/>
    </xf>
    <xf numFmtId="3" fontId="62" fillId="0" borderId="0" xfId="0" applyNumberFormat="1" applyFont="1" applyAlignment="1">
      <alignment horizontal="right"/>
    </xf>
    <xf numFmtId="0" fontId="62" fillId="20" borderId="0" xfId="0" applyFont="1" applyFill="1" applyAlignment="1">
      <alignment horizontal="left"/>
    </xf>
    <xf numFmtId="0" fontId="102" fillId="20" borderId="0" xfId="0" applyFont="1" applyFill="1" applyAlignment="1">
      <alignment horizontal="right"/>
    </xf>
    <xf numFmtId="0" fontId="15" fillId="20" borderId="0" xfId="0" applyFont="1" applyFill="1" applyAlignment="1">
      <alignment horizontal="left"/>
    </xf>
    <xf numFmtId="0" fontId="3" fillId="25" borderId="0" xfId="0" applyFont="1" applyFill="1" applyAlignment="1"/>
    <xf numFmtId="0" fontId="62" fillId="20" borderId="0" xfId="0" applyFont="1" applyFill="1" applyAlignment="1">
      <alignment horizontal="right"/>
    </xf>
    <xf numFmtId="164" fontId="12" fillId="20" borderId="0" xfId="0" applyNumberFormat="1" applyFont="1" applyFill="1" applyAlignment="1">
      <alignment horizontal="right"/>
    </xf>
    <xf numFmtId="3" fontId="101" fillId="34" borderId="0" xfId="0" applyNumberFormat="1" applyFont="1" applyFill="1" applyAlignment="1">
      <alignment horizontal="right"/>
    </xf>
    <xf numFmtId="0" fontId="3" fillId="25" borderId="0" xfId="0" applyFont="1" applyFill="1" applyAlignment="1"/>
    <xf numFmtId="0" fontId="104" fillId="15" borderId="0" xfId="0" applyFont="1" applyFill="1" applyAlignment="1"/>
    <xf numFmtId="3" fontId="105" fillId="11" borderId="0" xfId="0" applyNumberFormat="1" applyFont="1" applyFill="1" applyAlignment="1">
      <alignment horizontal="right"/>
    </xf>
    <xf numFmtId="0" fontId="106" fillId="37" borderId="0" xfId="0" applyFont="1" applyFill="1" applyAlignment="1"/>
    <xf numFmtId="4" fontId="91" fillId="15" borderId="0" xfId="0" applyNumberFormat="1" applyFont="1" applyFill="1" applyAlignment="1">
      <alignment horizontal="left"/>
    </xf>
    <xf numFmtId="3" fontId="107" fillId="11" borderId="0" xfId="0" applyNumberFormat="1" applyFont="1" applyFill="1" applyAlignment="1">
      <alignment horizontal="right"/>
    </xf>
    <xf numFmtId="164" fontId="12" fillId="11" borderId="0" xfId="0" applyNumberFormat="1" applyFont="1" applyFill="1" applyAlignment="1"/>
    <xf numFmtId="177" fontId="91" fillId="15" borderId="0" xfId="0" applyNumberFormat="1" applyFont="1" applyFill="1" applyAlignment="1">
      <alignment horizontal="left"/>
    </xf>
    <xf numFmtId="3" fontId="5" fillId="11" borderId="0" xfId="0" applyNumberFormat="1" applyFont="1" applyFill="1" applyAlignment="1">
      <alignment horizontal="right"/>
    </xf>
    <xf numFmtId="0" fontId="108" fillId="15" borderId="0" xfId="0" applyFont="1" applyFill="1" applyAlignment="1"/>
    <xf numFmtId="0" fontId="101" fillId="15" borderId="0" xfId="0" applyFont="1" applyFill="1" applyAlignment="1">
      <alignment horizontal="left" vertical="top"/>
    </xf>
    <xf numFmtId="0" fontId="104" fillId="15" borderId="0" xfId="0" applyFont="1" applyFill="1" applyAlignment="1">
      <alignment vertical="top"/>
    </xf>
    <xf numFmtId="3" fontId="6" fillId="11" borderId="0" xfId="0" applyNumberFormat="1" applyFont="1" applyFill="1" applyAlignment="1">
      <alignment horizontal="right"/>
    </xf>
    <xf numFmtId="3" fontId="3" fillId="11" borderId="3" xfId="0" applyNumberFormat="1" applyFont="1" applyFill="1" applyBorder="1"/>
    <xf numFmtId="3" fontId="3" fillId="0" borderId="3" xfId="0" applyNumberFormat="1" applyFont="1" applyBorder="1"/>
    <xf numFmtId="0" fontId="16" fillId="15" borderId="0" xfId="0" applyFont="1" applyFill="1" applyAlignment="1"/>
    <xf numFmtId="164" fontId="84" fillId="11" borderId="0" xfId="0" applyNumberFormat="1" applyFont="1" applyFill="1" applyAlignment="1">
      <alignment horizontal="right"/>
    </xf>
    <xf numFmtId="4" fontId="36" fillId="11" borderId="0" xfId="0" applyNumberFormat="1" applyFont="1" applyFill="1" applyAlignment="1">
      <alignment horizontal="right" vertical="top"/>
    </xf>
    <xf numFmtId="164" fontId="3" fillId="33" borderId="0" xfId="0" applyNumberFormat="1" applyFont="1" applyFill="1"/>
    <xf numFmtId="169" fontId="3" fillId="33" borderId="0" xfId="0" applyNumberFormat="1" applyFont="1" applyFill="1"/>
    <xf numFmtId="2" fontId="3" fillId="33" borderId="0" xfId="0" applyNumberFormat="1" applyFont="1" applyFill="1" applyAlignment="1">
      <alignment horizontal="center"/>
    </xf>
    <xf numFmtId="165" fontId="3" fillId="33" borderId="0" xfId="0" applyNumberFormat="1" applyFont="1" applyFill="1" applyAlignment="1">
      <alignment horizontal="center"/>
    </xf>
    <xf numFmtId="0" fontId="3" fillId="33" borderId="0" xfId="0" applyFont="1" applyFill="1" applyAlignment="1">
      <alignment horizontal="center"/>
    </xf>
    <xf numFmtId="0" fontId="3" fillId="11" borderId="3" xfId="0" applyFont="1" applyFill="1" applyBorder="1"/>
    <xf numFmtId="0" fontId="3" fillId="33" borderId="0" xfId="0" applyFont="1" applyFill="1" applyAlignment="1">
      <alignment horizontal="center"/>
    </xf>
    <xf numFmtId="165" fontId="3" fillId="33" borderId="0" xfId="0" applyNumberFormat="1" applyFont="1" applyFill="1"/>
    <xf numFmtId="0" fontId="15" fillId="15" borderId="0" xfId="0" applyFont="1" applyFill="1" applyAlignment="1"/>
    <xf numFmtId="0" fontId="36" fillId="11" borderId="0" xfId="0" applyFont="1" applyFill="1" applyAlignment="1">
      <alignment horizontal="right" vertical="top"/>
    </xf>
    <xf numFmtId="0" fontId="15" fillId="15" borderId="0" xfId="0" applyFont="1" applyFill="1" applyAlignment="1">
      <alignment horizontal="center" vertical="top"/>
    </xf>
    <xf numFmtId="0" fontId="15" fillId="15" borderId="0" xfId="0" applyFont="1" applyFill="1" applyAlignment="1"/>
    <xf numFmtId="168" fontId="3" fillId="11" borderId="0" xfId="0" applyNumberFormat="1" applyFont="1" applyFill="1" applyAlignment="1"/>
    <xf numFmtId="0" fontId="15" fillId="15" borderId="0" xfId="0" applyFont="1" applyFill="1" applyAlignment="1">
      <alignment horizontal="left" vertical="top"/>
    </xf>
    <xf numFmtId="0" fontId="36" fillId="15" borderId="0" xfId="0" applyFont="1" applyFill="1" applyAlignment="1">
      <alignment vertical="top"/>
    </xf>
    <xf numFmtId="178" fontId="3" fillId="11" borderId="0" xfId="0" applyNumberFormat="1" applyFont="1" applyFill="1" applyAlignment="1">
      <alignment horizontal="center"/>
    </xf>
    <xf numFmtId="3" fontId="49" fillId="38" borderId="0" xfId="0" applyNumberFormat="1" applyFont="1" applyFill="1" applyAlignment="1">
      <alignment horizontal="right"/>
    </xf>
    <xf numFmtId="0" fontId="3" fillId="0" borderId="6" xfId="0" applyFont="1" applyBorder="1" applyAlignment="1"/>
    <xf numFmtId="0" fontId="10" fillId="0" borderId="0" xfId="0" applyFont="1" applyAlignment="1"/>
    <xf numFmtId="0" fontId="9" fillId="0" borderId="0" xfId="0" applyFont="1" applyAlignment="1">
      <alignment horizontal="center"/>
    </xf>
    <xf numFmtId="176" fontId="3" fillId="0" borderId="0" xfId="0" applyNumberFormat="1" applyFont="1"/>
    <xf numFmtId="0" fontId="34" fillId="15" borderId="1" xfId="0" applyFont="1" applyFill="1" applyBorder="1" applyAlignment="1"/>
    <xf numFmtId="175" fontId="20" fillId="0" borderId="7" xfId="0" applyNumberFormat="1" applyFont="1" applyBorder="1" applyAlignment="1">
      <alignment horizontal="center" vertical="top"/>
    </xf>
    <xf numFmtId="0" fontId="34" fillId="38" borderId="0" xfId="0" applyFont="1" applyFill="1" applyAlignment="1"/>
    <xf numFmtId="176" fontId="3" fillId="0" borderId="7" xfId="0" applyNumberFormat="1" applyFont="1" applyBorder="1"/>
    <xf numFmtId="0" fontId="49" fillId="38" borderId="0" xfId="0" applyFont="1" applyFill="1" applyAlignment="1">
      <alignment horizontal="right"/>
    </xf>
    <xf numFmtId="0" fontId="33" fillId="15" borderId="1" xfId="0" applyFont="1" applyFill="1" applyBorder="1" applyAlignment="1">
      <alignment vertical="top"/>
    </xf>
    <xf numFmtId="0" fontId="49" fillId="38" borderId="0" xfId="0" applyFont="1" applyFill="1" applyAlignment="1"/>
    <xf numFmtId="0" fontId="34" fillId="15" borderId="0" xfId="0" applyFont="1" applyFill="1" applyAlignment="1"/>
    <xf numFmtId="175" fontId="6" fillId="0" borderId="0" xfId="0" applyNumberFormat="1" applyFont="1" applyAlignment="1">
      <alignment horizontal="right"/>
    </xf>
    <xf numFmtId="0" fontId="34" fillId="15" borderId="0" xfId="0" applyFont="1" applyFill="1"/>
    <xf numFmtId="0" fontId="33" fillId="15" borderId="0" xfId="0" applyFont="1" applyFill="1" applyAlignment="1">
      <alignment horizontal="right"/>
    </xf>
    <xf numFmtId="0" fontId="10" fillId="0" borderId="0" xfId="0" applyFont="1"/>
    <xf numFmtId="0" fontId="33" fillId="15" borderId="0" xfId="0" applyFont="1" applyFill="1" applyAlignment="1"/>
    <xf numFmtId="3" fontId="33" fillId="15" borderId="0" xfId="0" applyNumberFormat="1" applyFont="1" applyFill="1" applyAlignment="1">
      <alignment horizontal="right"/>
    </xf>
    <xf numFmtId="0" fontId="34" fillId="15" borderId="1" xfId="0" applyFont="1" applyFill="1" applyBorder="1" applyAlignment="1">
      <alignment vertical="top"/>
    </xf>
    <xf numFmtId="0" fontId="34" fillId="15" borderId="7" xfId="0" applyFont="1" applyFill="1" applyBorder="1" applyAlignment="1"/>
    <xf numFmtId="0" fontId="33" fillId="15" borderId="7" xfId="0" applyFont="1" applyFill="1" applyBorder="1" applyAlignment="1">
      <alignment horizontal="right"/>
    </xf>
    <xf numFmtId="3" fontId="17" fillId="15" borderId="0" xfId="0" applyNumberFormat="1" applyFont="1" applyFill="1" applyAlignment="1"/>
    <xf numFmtId="3" fontId="16" fillId="15" borderId="0" xfId="0" applyNumberFormat="1" applyFont="1" applyFill="1" applyAlignment="1"/>
    <xf numFmtId="3" fontId="16" fillId="38" borderId="0" xfId="0" applyNumberFormat="1" applyFont="1" applyFill="1" applyAlignment="1"/>
    <xf numFmtId="0" fontId="69" fillId="0" borderId="1" xfId="0" applyFont="1" applyBorder="1" applyAlignment="1"/>
    <xf numFmtId="0" fontId="12" fillId="15" borderId="1" xfId="0" applyFont="1" applyFill="1" applyBorder="1" applyAlignment="1">
      <alignment horizontal="right" vertical="top"/>
    </xf>
    <xf numFmtId="0" fontId="15" fillId="15" borderId="0" xfId="0" applyFont="1" applyFill="1" applyAlignment="1"/>
    <xf numFmtId="0" fontId="97" fillId="38" borderId="0" xfId="0" applyFont="1" applyFill="1" applyAlignment="1">
      <alignment horizontal="right"/>
    </xf>
    <xf numFmtId="176" fontId="16" fillId="38" borderId="0" xfId="0" applyNumberFormat="1" applyFont="1" applyFill="1" applyAlignment="1">
      <alignment horizontal="right"/>
    </xf>
    <xf numFmtId="179" fontId="3" fillId="11" borderId="0" xfId="0" applyNumberFormat="1" applyFont="1" applyFill="1"/>
    <xf numFmtId="0" fontId="97" fillId="15" borderId="0" xfId="0" applyFont="1" applyFill="1" applyAlignment="1">
      <alignment horizontal="right"/>
    </xf>
    <xf numFmtId="176" fontId="12" fillId="15" borderId="0" xfId="0" applyNumberFormat="1" applyFont="1" applyFill="1" applyAlignment="1">
      <alignment horizontal="right"/>
    </xf>
    <xf numFmtId="0" fontId="97" fillId="15" borderId="5" xfId="0" applyFont="1" applyFill="1" applyBorder="1" applyAlignment="1">
      <alignment horizontal="right"/>
    </xf>
    <xf numFmtId="0" fontId="34" fillId="15" borderId="0" xfId="0" applyFont="1" applyFill="1" applyAlignment="1"/>
    <xf numFmtId="0" fontId="97" fillId="15" borderId="1" xfId="0" applyFont="1" applyFill="1" applyBorder="1" applyAlignment="1">
      <alignment horizontal="right"/>
    </xf>
    <xf numFmtId="3" fontId="36" fillId="15" borderId="0" xfId="0" applyNumberFormat="1" applyFont="1" applyFill="1" applyAlignment="1">
      <alignment horizontal="right"/>
    </xf>
    <xf numFmtId="0" fontId="16" fillId="38" borderId="0" xfId="0" applyFont="1" applyFill="1" applyAlignment="1">
      <alignment horizontal="right"/>
    </xf>
    <xf numFmtId="0" fontId="12" fillId="15" borderId="0" xfId="0" applyFont="1" applyFill="1" applyAlignment="1">
      <alignment horizontal="right"/>
    </xf>
    <xf numFmtId="3" fontId="110" fillId="15" borderId="0" xfId="0" applyNumberFormat="1" applyFont="1" applyFill="1" applyAlignment="1">
      <alignment horizontal="right"/>
    </xf>
    <xf numFmtId="0" fontId="97" fillId="15" borderId="1" xfId="0" applyFont="1" applyFill="1" applyBorder="1" applyAlignment="1">
      <alignment horizontal="right"/>
    </xf>
    <xf numFmtId="0" fontId="97" fillId="38" borderId="0" xfId="0" applyFont="1" applyFill="1" applyAlignment="1">
      <alignment horizontal="right"/>
    </xf>
    <xf numFmtId="0" fontId="3" fillId="25" borderId="7" xfId="0" applyFont="1" applyFill="1" applyBorder="1"/>
    <xf numFmtId="0" fontId="112" fillId="15" borderId="2" xfId="0" applyFont="1" applyFill="1" applyBorder="1" applyAlignment="1"/>
    <xf numFmtId="0" fontId="16" fillId="15" borderId="0" xfId="0" applyFont="1" applyFill="1" applyAlignment="1"/>
    <xf numFmtId="0" fontId="10" fillId="0" borderId="3" xfId="0" applyFont="1" applyBorder="1"/>
    <xf numFmtId="0" fontId="36" fillId="5" borderId="0" xfId="0" applyFont="1" applyFill="1" applyAlignment="1">
      <alignment horizontal="right"/>
    </xf>
    <xf numFmtId="0" fontId="97" fillId="15" borderId="0" xfId="0" applyFont="1" applyFill="1" applyAlignment="1">
      <alignment horizontal="center"/>
    </xf>
    <xf numFmtId="0" fontId="36" fillId="5" borderId="0" xfId="0" applyFont="1" applyFill="1" applyAlignment="1">
      <alignment horizontal="left"/>
    </xf>
    <xf numFmtId="0" fontId="111" fillId="15" borderId="0" xfId="0" applyFont="1" applyFill="1" applyAlignment="1">
      <alignment horizontal="right"/>
    </xf>
    <xf numFmtId="0" fontId="97" fillId="15" borderId="5" xfId="0" applyFont="1" applyFill="1" applyBorder="1" applyAlignment="1">
      <alignment horizontal="center"/>
    </xf>
    <xf numFmtId="0" fontId="15" fillId="0" borderId="1" xfId="0" applyFont="1" applyBorder="1" applyAlignment="1">
      <alignment horizontal="left"/>
    </xf>
    <xf numFmtId="0" fontId="97" fillId="15" borderId="1" xfId="0" applyFont="1" applyFill="1" applyBorder="1" applyAlignment="1">
      <alignment horizontal="center"/>
    </xf>
    <xf numFmtId="0" fontId="15" fillId="5" borderId="0" xfId="0" applyFont="1" applyFill="1" applyAlignment="1">
      <alignment horizontal="left"/>
    </xf>
    <xf numFmtId="0" fontId="111" fillId="15" borderId="0" xfId="0" applyFont="1" applyFill="1" applyAlignment="1">
      <alignment horizontal="center"/>
    </xf>
    <xf numFmtId="3" fontId="111" fillId="15" borderId="0" xfId="0" applyNumberFormat="1" applyFont="1" applyFill="1" applyAlignment="1">
      <alignment horizontal="right"/>
    </xf>
    <xf numFmtId="0" fontId="15" fillId="0" borderId="1" xfId="0" applyFont="1" applyBorder="1" applyAlignment="1">
      <alignment horizontal="left" vertical="top"/>
    </xf>
    <xf numFmtId="3" fontId="36" fillId="5" borderId="0" xfId="0" applyNumberFormat="1" applyFont="1" applyFill="1" applyAlignment="1">
      <alignment horizontal="right"/>
    </xf>
    <xf numFmtId="0" fontId="15" fillId="0" borderId="0" xfId="0" applyFont="1" applyAlignment="1">
      <alignment horizontal="left"/>
    </xf>
    <xf numFmtId="3" fontId="15" fillId="0" borderId="0" xfId="0" applyNumberFormat="1" applyFont="1" applyAlignment="1">
      <alignment horizontal="right"/>
    </xf>
    <xf numFmtId="4" fontId="111" fillId="15" borderId="0" xfId="0" applyNumberFormat="1" applyFont="1" applyFill="1" applyAlignment="1">
      <alignment horizontal="right"/>
    </xf>
    <xf numFmtId="0" fontId="97" fillId="39" borderId="1" xfId="0" applyFont="1" applyFill="1" applyBorder="1" applyAlignment="1">
      <alignment horizontal="center"/>
    </xf>
    <xf numFmtId="0" fontId="12" fillId="15" borderId="1" xfId="0" applyFont="1" applyFill="1" applyBorder="1" applyAlignment="1">
      <alignment horizontal="left" vertical="top"/>
    </xf>
    <xf numFmtId="0" fontId="111" fillId="39" borderId="0" xfId="0" applyFont="1" applyFill="1" applyAlignment="1">
      <alignment horizontal="center"/>
    </xf>
    <xf numFmtId="0" fontId="16" fillId="5" borderId="0" xfId="0" applyFont="1" applyFill="1" applyAlignment="1">
      <alignment horizontal="left"/>
    </xf>
    <xf numFmtId="180" fontId="3" fillId="11" borderId="0" xfId="0" applyNumberFormat="1" applyFont="1" applyFill="1" applyAlignment="1"/>
    <xf numFmtId="3" fontId="16" fillId="5" borderId="0" xfId="0" applyNumberFormat="1" applyFont="1" applyFill="1" applyAlignment="1">
      <alignment horizontal="right"/>
    </xf>
    <xf numFmtId="0" fontId="97" fillId="39" borderId="0" xfId="0" applyFont="1" applyFill="1" applyAlignment="1">
      <alignment horizontal="center"/>
    </xf>
    <xf numFmtId="0" fontId="12" fillId="5" borderId="0" xfId="0" applyFont="1" applyFill="1" applyAlignment="1">
      <alignment horizontal="left"/>
    </xf>
    <xf numFmtId="3" fontId="111" fillId="39" borderId="0" xfId="0" applyNumberFormat="1" applyFont="1" applyFill="1" applyAlignment="1">
      <alignment horizontal="right"/>
    </xf>
    <xf numFmtId="0" fontId="12" fillId="15" borderId="0" xfId="0" applyFont="1" applyFill="1" applyAlignment="1">
      <alignment horizontal="left"/>
    </xf>
    <xf numFmtId="0" fontId="111" fillId="39" borderId="0" xfId="0" applyFont="1" applyFill="1" applyAlignment="1">
      <alignment horizontal="right"/>
    </xf>
    <xf numFmtId="3" fontId="12" fillId="15" borderId="0" xfId="0" applyNumberFormat="1" applyFont="1" applyFill="1" applyAlignment="1">
      <alignment horizontal="right"/>
    </xf>
    <xf numFmtId="0" fontId="97" fillId="39" borderId="5" xfId="0" applyFont="1" applyFill="1" applyBorder="1" applyAlignment="1">
      <alignment horizontal="center"/>
    </xf>
    <xf numFmtId="0" fontId="12" fillId="15" borderId="0" xfId="0" applyFont="1" applyFill="1" applyAlignment="1">
      <alignment horizontal="left"/>
    </xf>
    <xf numFmtId="164" fontId="3" fillId="33" borderId="0" xfId="0" applyNumberFormat="1" applyFont="1" applyFill="1" applyAlignment="1"/>
    <xf numFmtId="0" fontId="68" fillId="0" borderId="3" xfId="0" applyFont="1" applyBorder="1" applyAlignment="1"/>
    <xf numFmtId="0" fontId="36" fillId="5" borderId="0" xfId="0" applyFont="1" applyFill="1" applyAlignment="1">
      <alignment horizontal="right"/>
    </xf>
    <xf numFmtId="0" fontId="15" fillId="15" borderId="0" xfId="0" applyFont="1" applyFill="1" applyAlignment="1">
      <alignment horizontal="left"/>
    </xf>
    <xf numFmtId="0" fontId="15" fillId="15" borderId="1" xfId="0" applyFont="1" applyFill="1" applyBorder="1" applyAlignment="1">
      <alignment horizontal="left"/>
    </xf>
    <xf numFmtId="0" fontId="15" fillId="15" borderId="5" xfId="0" applyFont="1" applyFill="1" applyBorder="1" applyAlignment="1">
      <alignment horizontal="left"/>
    </xf>
    <xf numFmtId="0" fontId="15" fillId="15" borderId="1" xfId="0" applyFont="1" applyFill="1" applyBorder="1" applyAlignment="1">
      <alignment horizontal="left"/>
    </xf>
    <xf numFmtId="0" fontId="15" fillId="15" borderId="0" xfId="0" applyFont="1" applyFill="1" applyAlignment="1">
      <alignment horizontal="right"/>
    </xf>
    <xf numFmtId="0" fontId="15" fillId="15" borderId="5" xfId="0" applyFont="1" applyFill="1" applyBorder="1" applyAlignment="1">
      <alignment horizontal="left"/>
    </xf>
    <xf numFmtId="0" fontId="36" fillId="15" borderId="1" xfId="0" applyFont="1" applyFill="1" applyBorder="1" applyAlignment="1">
      <alignment horizontal="left"/>
    </xf>
    <xf numFmtId="0" fontId="15" fillId="15" borderId="0" xfId="0" applyFont="1" applyFill="1" applyAlignment="1">
      <alignment horizontal="left"/>
    </xf>
    <xf numFmtId="3" fontId="15" fillId="15" borderId="0" xfId="0" applyNumberFormat="1" applyFont="1" applyFill="1" applyAlignment="1">
      <alignment horizontal="right"/>
    </xf>
    <xf numFmtId="0" fontId="15" fillId="15" borderId="1" xfId="0" applyFont="1" applyFill="1" applyBorder="1" applyAlignment="1">
      <alignment horizontal="left" vertical="top"/>
    </xf>
    <xf numFmtId="4" fontId="3" fillId="0" borderId="3" xfId="0" applyNumberFormat="1" applyFont="1" applyBorder="1" applyAlignment="1"/>
    <xf numFmtId="175" fontId="90" fillId="15" borderId="0" xfId="0" applyNumberFormat="1" applyFont="1" applyFill="1" applyAlignment="1">
      <alignment horizontal="left"/>
    </xf>
    <xf numFmtId="168" fontId="112" fillId="11" borderId="0" xfId="0" applyNumberFormat="1" applyFont="1" applyFill="1" applyAlignment="1"/>
    <xf numFmtId="181" fontId="3" fillId="11" borderId="0" xfId="0" applyNumberFormat="1" applyFont="1" applyFill="1"/>
    <xf numFmtId="0" fontId="3" fillId="11" borderId="0" xfId="0" applyFont="1" applyFill="1" applyAlignment="1">
      <alignment horizontal="center"/>
    </xf>
    <xf numFmtId="0" fontId="15" fillId="15" borderId="3" xfId="0" applyFont="1" applyFill="1" applyBorder="1" applyAlignment="1"/>
    <xf numFmtId="0" fontId="62" fillId="15" borderId="3" xfId="0" applyFont="1" applyFill="1" applyBorder="1" applyAlignment="1">
      <alignment horizontal="right"/>
    </xf>
    <xf numFmtId="0" fontId="15" fillId="15" borderId="4" xfId="0" applyFont="1" applyFill="1" applyBorder="1" applyAlignment="1">
      <alignment vertical="top"/>
    </xf>
    <xf numFmtId="0" fontId="113" fillId="15" borderId="0" xfId="0" applyFont="1" applyFill="1" applyAlignment="1"/>
    <xf numFmtId="0" fontId="113" fillId="15" borderId="0" xfId="0" applyFont="1" applyFill="1" applyAlignment="1">
      <alignment wrapText="1"/>
    </xf>
    <xf numFmtId="3" fontId="12" fillId="11" borderId="1" xfId="0" applyNumberFormat="1" applyFont="1" applyFill="1" applyBorder="1" applyAlignment="1">
      <alignment horizontal="right"/>
    </xf>
    <xf numFmtId="0" fontId="113" fillId="15" borderId="5" xfId="0" applyFont="1" applyFill="1" applyBorder="1" applyAlignment="1">
      <alignment wrapText="1"/>
    </xf>
    <xf numFmtId="0" fontId="15" fillId="15" borderId="0" xfId="0" applyFont="1" applyFill="1" applyAlignment="1">
      <alignment vertical="top"/>
    </xf>
    <xf numFmtId="0" fontId="36" fillId="15" borderId="0" xfId="0" applyFont="1" applyFill="1" applyAlignment="1">
      <alignment horizontal="left"/>
    </xf>
    <xf numFmtId="0" fontId="15" fillId="15" borderId="5" xfId="0" applyFont="1" applyFill="1" applyBorder="1" applyAlignment="1">
      <alignment vertical="top"/>
    </xf>
    <xf numFmtId="0" fontId="15" fillId="15" borderId="0" xfId="0" applyFont="1" applyFill="1" applyAlignment="1">
      <alignment horizontal="left"/>
    </xf>
    <xf numFmtId="0" fontId="15" fillId="15" borderId="1" xfId="0" applyFont="1" applyFill="1" applyBorder="1" applyAlignment="1">
      <alignment vertical="top"/>
    </xf>
    <xf numFmtId="0" fontId="15" fillId="15" borderId="0" xfId="0" applyFont="1" applyFill="1" applyAlignment="1">
      <alignment vertical="top"/>
    </xf>
    <xf numFmtId="3" fontId="15" fillId="15" borderId="0" xfId="0" applyNumberFormat="1" applyFont="1" applyFill="1" applyAlignment="1">
      <alignment horizontal="right" vertical="top"/>
    </xf>
    <xf numFmtId="0" fontId="15" fillId="15" borderId="0" xfId="0" applyFont="1" applyFill="1" applyAlignment="1">
      <alignment horizontal="right" vertical="top"/>
    </xf>
    <xf numFmtId="0" fontId="15" fillId="15" borderId="0" xfId="0" applyFont="1" applyFill="1" applyAlignment="1">
      <alignment horizontal="left" vertical="top"/>
    </xf>
    <xf numFmtId="0" fontId="15" fillId="15" borderId="5" xfId="0" applyFont="1" applyFill="1" applyBorder="1" applyAlignment="1">
      <alignment vertical="top"/>
    </xf>
    <xf numFmtId="0" fontId="15" fillId="15" borderId="7" xfId="0" applyFont="1" applyFill="1" applyBorder="1" applyAlignment="1">
      <alignment horizontal="left"/>
    </xf>
    <xf numFmtId="4" fontId="15" fillId="15" borderId="0" xfId="0" applyNumberFormat="1" applyFont="1" applyFill="1" applyAlignment="1">
      <alignment horizontal="right" vertical="top"/>
    </xf>
    <xf numFmtId="0" fontId="15" fillId="39" borderId="1" xfId="0" applyFont="1" applyFill="1" applyBorder="1" applyAlignment="1">
      <alignment vertical="top"/>
    </xf>
    <xf numFmtId="0" fontId="15" fillId="39" borderId="0" xfId="0" applyFont="1" applyFill="1" applyAlignment="1">
      <alignment vertical="top"/>
    </xf>
    <xf numFmtId="0" fontId="15" fillId="39" borderId="0" xfId="0" applyFont="1" applyFill="1" applyAlignment="1">
      <alignment vertical="top"/>
    </xf>
    <xf numFmtId="0" fontId="12" fillId="40" borderId="0" xfId="0" applyFont="1" applyFill="1" applyAlignment="1"/>
    <xf numFmtId="3" fontId="15" fillId="39" borderId="0" xfId="0" applyNumberFormat="1" applyFont="1" applyFill="1" applyAlignment="1">
      <alignment horizontal="right" vertical="top"/>
    </xf>
    <xf numFmtId="3" fontId="12" fillId="11" borderId="0" xfId="0" applyNumberFormat="1" applyFont="1" applyFill="1" applyAlignment="1"/>
    <xf numFmtId="0" fontId="15" fillId="39" borderId="0" xfId="0" applyFont="1" applyFill="1" applyAlignment="1">
      <alignment horizontal="right" vertical="top"/>
    </xf>
    <xf numFmtId="0" fontId="16" fillId="15" borderId="0" xfId="0" applyFont="1" applyFill="1" applyAlignment="1"/>
    <xf numFmtId="3" fontId="16" fillId="11" borderId="0" xfId="0" applyNumberFormat="1" applyFont="1" applyFill="1" applyAlignment="1"/>
    <xf numFmtId="3" fontId="36" fillId="5" borderId="0" xfId="0" applyNumberFormat="1" applyFont="1" applyFill="1" applyAlignment="1">
      <alignment horizontal="right"/>
    </xf>
    <xf numFmtId="0" fontId="15" fillId="39" borderId="5" xfId="0" applyFont="1" applyFill="1" applyBorder="1" applyAlignment="1">
      <alignment vertical="top"/>
    </xf>
    <xf numFmtId="0" fontId="114" fillId="11" borderId="0" xfId="0" applyFont="1" applyFill="1" applyAlignment="1"/>
    <xf numFmtId="3" fontId="79" fillId="11" borderId="0" xfId="0" applyNumberFormat="1" applyFont="1" applyFill="1" applyAlignment="1">
      <alignment horizontal="right"/>
    </xf>
    <xf numFmtId="0" fontId="15" fillId="15" borderId="6" xfId="0" applyFont="1" applyFill="1" applyBorder="1" applyAlignment="1">
      <alignment vertical="top"/>
    </xf>
    <xf numFmtId="0" fontId="15" fillId="15" borderId="7" xfId="0" applyFont="1" applyFill="1" applyBorder="1" applyAlignment="1">
      <alignment vertical="top"/>
    </xf>
    <xf numFmtId="3" fontId="66" fillId="15" borderId="0" xfId="0" applyNumberFormat="1" applyFont="1" applyFill="1" applyAlignment="1">
      <alignment horizontal="center"/>
    </xf>
    <xf numFmtId="0" fontId="115" fillId="15" borderId="0" xfId="0" applyFont="1" applyFill="1" applyAlignment="1"/>
    <xf numFmtId="0" fontId="15" fillId="20" borderId="0" xfId="0" applyFont="1" applyFill="1" applyAlignment="1"/>
    <xf numFmtId="0" fontId="36" fillId="20" borderId="0" xfId="0" applyFont="1" applyFill="1" applyAlignment="1"/>
    <xf numFmtId="3" fontId="36" fillId="20" borderId="0" xfId="0" applyNumberFormat="1" applyFont="1" applyFill="1" applyAlignment="1">
      <alignment horizontal="right"/>
    </xf>
    <xf numFmtId="3" fontId="83" fillId="11" borderId="0" xfId="0" applyNumberFormat="1" applyFont="1" applyFill="1" applyAlignment="1">
      <alignment horizontal="right"/>
    </xf>
    <xf numFmtId="0" fontId="15" fillId="15" borderId="0" xfId="0" applyFont="1" applyFill="1" applyAlignment="1"/>
    <xf numFmtId="0" fontId="116" fillId="15" borderId="0" xfId="0" applyFont="1" applyFill="1"/>
    <xf numFmtId="0" fontId="15" fillId="15" borderId="0" xfId="0" applyFont="1" applyFill="1" applyAlignment="1"/>
    <xf numFmtId="0" fontId="15" fillId="15" borderId="0" xfId="0" applyFont="1" applyFill="1" applyAlignment="1"/>
    <xf numFmtId="3" fontId="15" fillId="15" borderId="0" xfId="0" applyNumberFormat="1" applyFont="1" applyFill="1" applyAlignment="1">
      <alignment horizontal="right"/>
    </xf>
    <xf numFmtId="0" fontId="36" fillId="15" borderId="0" xfId="0" applyFont="1" applyFill="1" applyAlignment="1"/>
    <xf numFmtId="0" fontId="15" fillId="15" borderId="0" xfId="0" applyFont="1" applyFill="1" applyAlignment="1">
      <alignment horizontal="right"/>
    </xf>
    <xf numFmtId="0" fontId="15" fillId="15" borderId="0" xfId="0" applyFont="1" applyFill="1" applyAlignment="1">
      <alignment horizontal="right"/>
    </xf>
    <xf numFmtId="0" fontId="15" fillId="20" borderId="0" xfId="0" applyFont="1" applyFill="1" applyAlignment="1">
      <alignment vertical="top"/>
    </xf>
    <xf numFmtId="3" fontId="15" fillId="15" borderId="0" xfId="0" applyNumberFormat="1" applyFont="1" applyFill="1" applyAlignment="1"/>
    <xf numFmtId="0" fontId="90" fillId="15" borderId="0" xfId="0" applyFont="1" applyFill="1" applyAlignment="1">
      <alignment horizontal="right"/>
    </xf>
    <xf numFmtId="0" fontId="117" fillId="20" borderId="0" xfId="0" applyFont="1" applyFill="1" applyAlignment="1"/>
    <xf numFmtId="0" fontId="15" fillId="20" borderId="5" xfId="0" applyFont="1" applyFill="1" applyBorder="1" applyAlignment="1"/>
    <xf numFmtId="0" fontId="15" fillId="0" borderId="0" xfId="0" applyFont="1" applyAlignment="1"/>
    <xf numFmtId="0" fontId="48" fillId="15" borderId="5" xfId="0" applyFont="1" applyFill="1" applyBorder="1" applyAlignment="1">
      <alignment horizontal="center"/>
    </xf>
    <xf numFmtId="0" fontId="98" fillId="0" borderId="0" xfId="0" applyFont="1" applyAlignment="1">
      <alignment horizontal="left"/>
    </xf>
    <xf numFmtId="0" fontId="12" fillId="0" borderId="0" xfId="0" applyFont="1" applyAlignment="1">
      <alignment horizontal="left"/>
    </xf>
    <xf numFmtId="0" fontId="69" fillId="0" borderId="0" xfId="0" applyFont="1" applyAlignment="1"/>
    <xf numFmtId="3" fontId="15" fillId="0" borderId="5" xfId="0" applyNumberFormat="1" applyFont="1" applyBorder="1" applyAlignment="1"/>
    <xf numFmtId="9" fontId="12" fillId="15" borderId="0" xfId="0" applyNumberFormat="1" applyFont="1" applyFill="1" applyAlignment="1"/>
    <xf numFmtId="0" fontId="118" fillId="0" borderId="0" xfId="0" applyFont="1" applyAlignment="1">
      <alignment horizontal="center"/>
    </xf>
    <xf numFmtId="3" fontId="15" fillId="0" borderId="5" xfId="0" applyNumberFormat="1" applyFont="1" applyBorder="1" applyAlignment="1"/>
    <xf numFmtId="0" fontId="14" fillId="0" borderId="0" xfId="0" applyFont="1" applyAlignment="1">
      <alignment horizontal="center"/>
    </xf>
    <xf numFmtId="0" fontId="63" fillId="0" borderId="0" xfId="0" applyFont="1" applyAlignment="1">
      <alignment horizontal="center"/>
    </xf>
    <xf numFmtId="0" fontId="12" fillId="15" borderId="0" xfId="0" applyFont="1" applyFill="1" applyAlignment="1">
      <alignment horizontal="right"/>
    </xf>
    <xf numFmtId="0" fontId="12" fillId="15" borderId="0" xfId="0" applyFont="1" applyFill="1" applyAlignment="1">
      <alignment horizontal="left"/>
    </xf>
    <xf numFmtId="0" fontId="63" fillId="0" borderId="0" xfId="0" applyFont="1" applyAlignment="1">
      <alignment horizontal="right"/>
    </xf>
    <xf numFmtId="0" fontId="12" fillId="15" borderId="0" xfId="0" applyFont="1" applyFill="1" applyAlignment="1"/>
    <xf numFmtId="3" fontId="118" fillId="15" borderId="0" xfId="0" applyNumberFormat="1" applyFont="1" applyFill="1" applyAlignment="1">
      <alignment horizontal="right"/>
    </xf>
    <xf numFmtId="0" fontId="32" fillId="0" borderId="0" xfId="0" applyFont="1" applyAlignment="1">
      <alignment horizontal="center"/>
    </xf>
    <xf numFmtId="0" fontId="118" fillId="41" borderId="0" xfId="0" applyFont="1" applyFill="1" applyAlignment="1">
      <alignment horizontal="right"/>
    </xf>
    <xf numFmtId="175" fontId="3" fillId="0" borderId="7" xfId="0" applyNumberFormat="1" applyFont="1" applyBorder="1"/>
    <xf numFmtId="0" fontId="14" fillId="15" borderId="0" xfId="0" applyFont="1" applyFill="1" applyAlignment="1">
      <alignment horizontal="center"/>
    </xf>
    <xf numFmtId="175" fontId="3" fillId="11" borderId="7" xfId="0" applyNumberFormat="1" applyFont="1" applyFill="1" applyBorder="1"/>
    <xf numFmtId="0" fontId="32" fillId="15" borderId="0" xfId="0" applyFont="1" applyFill="1" applyAlignment="1">
      <alignment horizontal="center"/>
    </xf>
    <xf numFmtId="175" fontId="91" fillId="15" borderId="0" xfId="0" applyNumberFormat="1" applyFont="1" applyFill="1" applyAlignment="1">
      <alignment horizontal="left"/>
    </xf>
    <xf numFmtId="0" fontId="32" fillId="15" borderId="0" xfId="0" applyFont="1" applyFill="1" applyAlignment="1">
      <alignment horizontal="center"/>
    </xf>
    <xf numFmtId="0" fontId="119" fillId="15" borderId="0" xfId="0" applyFont="1" applyFill="1" applyAlignment="1">
      <alignment horizontal="center"/>
    </xf>
    <xf numFmtId="0" fontId="12" fillId="20" borderId="0" xfId="0" applyFont="1" applyFill="1" applyAlignment="1">
      <alignment horizontal="left"/>
    </xf>
    <xf numFmtId="0" fontId="12" fillId="20" borderId="0" xfId="0" applyFont="1" applyFill="1" applyAlignment="1">
      <alignment horizontal="center"/>
    </xf>
    <xf numFmtId="0" fontId="12" fillId="20" borderId="0" xfId="0" applyFont="1" applyFill="1" applyAlignment="1">
      <alignment horizontal="left"/>
    </xf>
    <xf numFmtId="0" fontId="12" fillId="20" borderId="0" xfId="0" applyFont="1" applyFill="1" applyAlignment="1">
      <alignment horizontal="right"/>
    </xf>
    <xf numFmtId="0" fontId="15" fillId="0" borderId="0" xfId="0" applyFont="1" applyAlignment="1"/>
    <xf numFmtId="0" fontId="12" fillId="15" borderId="0" xfId="0" applyFont="1" applyFill="1" applyAlignment="1">
      <alignment horizontal="center"/>
    </xf>
    <xf numFmtId="0" fontId="120" fillId="20" borderId="0" xfId="0" applyFont="1" applyFill="1" applyAlignment="1">
      <alignment vertical="top"/>
    </xf>
    <xf numFmtId="0" fontId="12" fillId="15" borderId="0" xfId="0" applyFont="1" applyFill="1" applyAlignment="1">
      <alignment horizontal="left"/>
    </xf>
    <xf numFmtId="0" fontId="73" fillId="0" borderId="0" xfId="0" applyFont="1" applyAlignment="1">
      <alignment vertical="top"/>
    </xf>
    <xf numFmtId="0" fontId="118" fillId="11" borderId="0" xfId="0" applyFont="1" applyFill="1" applyAlignment="1">
      <alignment horizontal="center"/>
    </xf>
    <xf numFmtId="0" fontId="73" fillId="20" borderId="0" xfId="0" applyFont="1" applyFill="1" applyAlignment="1">
      <alignment vertical="top"/>
    </xf>
    <xf numFmtId="0" fontId="12" fillId="20" borderId="0" xfId="0" applyFont="1" applyFill="1" applyAlignment="1">
      <alignment horizontal="right"/>
    </xf>
    <xf numFmtId="0" fontId="16" fillId="0" borderId="0" xfId="0" applyFont="1" applyAlignment="1">
      <alignment horizontal="left"/>
    </xf>
    <xf numFmtId="3" fontId="15" fillId="0" borderId="0" xfId="0" applyNumberFormat="1" applyFont="1" applyAlignment="1"/>
    <xf numFmtId="0" fontId="12" fillId="11" borderId="0" xfId="0" applyFont="1" applyFill="1" applyAlignment="1">
      <alignment horizontal="right"/>
    </xf>
    <xf numFmtId="0" fontId="12" fillId="15" borderId="0" xfId="0" applyFont="1" applyFill="1" applyAlignment="1">
      <alignment horizontal="center"/>
    </xf>
    <xf numFmtId="0" fontId="121" fillId="42" borderId="0" xfId="0" applyFont="1" applyFill="1" applyAlignment="1">
      <alignment horizontal="left"/>
    </xf>
    <xf numFmtId="0" fontId="121" fillId="42" borderId="0" xfId="0" applyFont="1" applyFill="1" applyAlignment="1">
      <alignment horizontal="right"/>
    </xf>
    <xf numFmtId="175" fontId="3" fillId="0" borderId="3" xfId="0" applyNumberFormat="1" applyFont="1" applyBorder="1" applyAlignment="1"/>
    <xf numFmtId="0" fontId="122" fillId="15" borderId="0" xfId="0" applyFont="1" applyFill="1" applyAlignment="1">
      <alignment horizontal="left"/>
    </xf>
    <xf numFmtId="0" fontId="123" fillId="15" borderId="14" xfId="0" applyFont="1" applyFill="1" applyBorder="1" applyAlignment="1">
      <alignment horizontal="left"/>
    </xf>
    <xf numFmtId="0" fontId="124" fillId="15" borderId="14" xfId="0" applyFont="1" applyFill="1" applyBorder="1" applyAlignment="1">
      <alignment horizontal="right"/>
    </xf>
    <xf numFmtId="0" fontId="123" fillId="43" borderId="14" xfId="0" applyFont="1" applyFill="1" applyBorder="1" applyAlignment="1">
      <alignment horizontal="left"/>
    </xf>
    <xf numFmtId="0" fontId="123" fillId="43" borderId="14" xfId="0" applyFont="1" applyFill="1" applyBorder="1" applyAlignment="1">
      <alignment horizontal="right"/>
    </xf>
    <xf numFmtId="0" fontId="125" fillId="15" borderId="14" xfId="0" applyFont="1" applyFill="1" applyBorder="1" applyAlignment="1">
      <alignment horizontal="left"/>
    </xf>
    <xf numFmtId="10" fontId="125" fillId="15" borderId="14" xfId="0" applyNumberFormat="1" applyFont="1" applyFill="1" applyBorder="1" applyAlignment="1">
      <alignment horizontal="right"/>
    </xf>
    <xf numFmtId="0" fontId="125" fillId="15" borderId="14" xfId="0" applyFont="1" applyFill="1" applyBorder="1" applyAlignment="1">
      <alignment horizontal="right"/>
    </xf>
    <xf numFmtId="0" fontId="73" fillId="20" borderId="7" xfId="0" applyFont="1" applyFill="1" applyBorder="1" applyAlignment="1"/>
    <xf numFmtId="0" fontId="125" fillId="43" borderId="14" xfId="0" applyFont="1" applyFill="1" applyBorder="1" applyAlignment="1">
      <alignment horizontal="left"/>
    </xf>
    <xf numFmtId="3" fontId="15" fillId="0" borderId="0" xfId="0" applyNumberFormat="1" applyFont="1" applyAlignment="1"/>
    <xf numFmtId="10" fontId="125" fillId="43" borderId="14" xfId="0" applyNumberFormat="1" applyFont="1" applyFill="1" applyBorder="1" applyAlignment="1">
      <alignment horizontal="right"/>
    </xf>
    <xf numFmtId="0" fontId="82" fillId="0" borderId="7" xfId="0" applyFont="1" applyBorder="1" applyAlignment="1">
      <alignment horizontal="center"/>
    </xf>
    <xf numFmtId="0" fontId="125" fillId="43" borderId="14" xfId="0" applyFont="1" applyFill="1" applyBorder="1" applyAlignment="1">
      <alignment horizontal="right"/>
    </xf>
    <xf numFmtId="3" fontId="3" fillId="0" borderId="7" xfId="0" applyNumberFormat="1" applyFont="1" applyBorder="1"/>
    <xf numFmtId="9" fontId="125" fillId="15" borderId="14" xfId="0" applyNumberFormat="1" applyFont="1" applyFill="1" applyBorder="1" applyAlignment="1">
      <alignment horizontal="right"/>
    </xf>
    <xf numFmtId="0" fontId="10" fillId="0" borderId="3" xfId="0" applyFont="1" applyBorder="1" applyAlignment="1"/>
    <xf numFmtId="182" fontId="3" fillId="0" borderId="0" xfId="0" applyNumberFormat="1" applyFont="1" applyAlignment="1"/>
    <xf numFmtId="9" fontId="125" fillId="43" borderId="14" xfId="0" applyNumberFormat="1" applyFont="1" applyFill="1" applyBorder="1" applyAlignment="1">
      <alignment horizontal="right"/>
    </xf>
    <xf numFmtId="0" fontId="72" fillId="0" borderId="7" xfId="0" applyFont="1" applyBorder="1" applyAlignment="1"/>
    <xf numFmtId="0" fontId="123" fillId="15" borderId="14" xfId="0" applyFont="1" applyFill="1" applyBorder="1" applyAlignment="1">
      <alignment horizontal="right"/>
    </xf>
    <xf numFmtId="3" fontId="126" fillId="20" borderId="0" xfId="0" applyNumberFormat="1" applyFont="1" applyFill="1" applyAlignment="1">
      <alignment horizontal="right"/>
    </xf>
    <xf numFmtId="0" fontId="125" fillId="43" borderId="0" xfId="0" applyFont="1" applyFill="1" applyAlignment="1">
      <alignment horizontal="left"/>
    </xf>
    <xf numFmtId="0" fontId="125" fillId="43" borderId="0" xfId="0" applyFont="1" applyFill="1" applyAlignment="1">
      <alignment horizontal="right"/>
    </xf>
    <xf numFmtId="0" fontId="125" fillId="15" borderId="0" xfId="0" applyFont="1" applyFill="1" applyAlignment="1">
      <alignment horizontal="left"/>
    </xf>
    <xf numFmtId="0" fontId="80" fillId="0" borderId="7" xfId="0" applyFont="1" applyBorder="1" applyAlignment="1"/>
    <xf numFmtId="0" fontId="12" fillId="0" borderId="0" xfId="0" applyFont="1" applyAlignment="1"/>
    <xf numFmtId="0" fontId="125" fillId="15" borderId="0" xfId="0" applyFont="1" applyFill="1" applyAlignment="1">
      <alignment horizontal="right"/>
    </xf>
    <xf numFmtId="0" fontId="75" fillId="20" borderId="0" xfId="0" applyFont="1" applyFill="1" applyAlignment="1">
      <alignment vertical="top"/>
    </xf>
    <xf numFmtId="0" fontId="12" fillId="20" borderId="0" xfId="0" applyFont="1" applyFill="1" applyAlignment="1"/>
    <xf numFmtId="0" fontId="75" fillId="0" borderId="0" xfId="0" applyFont="1" applyAlignment="1">
      <alignment vertical="top"/>
    </xf>
    <xf numFmtId="0" fontId="24" fillId="0" borderId="0" xfId="0" applyFont="1" applyAlignment="1"/>
    <xf numFmtId="0" fontId="24" fillId="0" borderId="0" xfId="0" applyFont="1" applyAlignment="1">
      <alignment horizontal="right"/>
    </xf>
    <xf numFmtId="0" fontId="35" fillId="15" borderId="5" xfId="0" applyFont="1" applyFill="1" applyBorder="1" applyAlignment="1">
      <alignment horizontal="center"/>
    </xf>
    <xf numFmtId="0" fontId="12" fillId="20" borderId="5" xfId="0" applyFont="1" applyFill="1" applyBorder="1" applyAlignment="1"/>
    <xf numFmtId="175" fontId="91" fillId="15" borderId="0" xfId="0" applyNumberFormat="1" applyFont="1" applyFill="1" applyAlignment="1">
      <alignment horizontal="left"/>
    </xf>
    <xf numFmtId="3" fontId="32" fillId="15" borderId="0" xfId="0" applyNumberFormat="1" applyFont="1" applyFill="1" applyAlignment="1">
      <alignment horizontal="right"/>
    </xf>
    <xf numFmtId="3" fontId="12" fillId="15" borderId="0" xfId="0" applyNumberFormat="1" applyFont="1" applyFill="1" applyAlignment="1"/>
    <xf numFmtId="0" fontId="0" fillId="0" borderId="0" xfId="0" applyFont="1" applyAlignment="1">
      <alignment horizontal="right"/>
    </xf>
    <xf numFmtId="0" fontId="0" fillId="0" borderId="0" xfId="0" applyFont="1" applyAlignment="1">
      <alignment horizontal="right"/>
    </xf>
    <xf numFmtId="0" fontId="82" fillId="0" borderId="0" xfId="0" applyFont="1" applyAlignment="1">
      <alignment horizontal="center"/>
    </xf>
    <xf numFmtId="0" fontId="119" fillId="0" borderId="0" xfId="0" applyFont="1" applyAlignment="1">
      <alignment horizontal="center"/>
    </xf>
    <xf numFmtId="0" fontId="119" fillId="0" borderId="0" xfId="0" applyFont="1" applyAlignment="1">
      <alignment horizontal="left"/>
    </xf>
    <xf numFmtId="0" fontId="119" fillId="0" borderId="0" xfId="0" applyFont="1" applyAlignment="1">
      <alignment horizontal="right"/>
    </xf>
    <xf numFmtId="0" fontId="32" fillId="0" borderId="0" xfId="0" applyFont="1" applyAlignment="1">
      <alignment horizontal="center"/>
    </xf>
    <xf numFmtId="0" fontId="119"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horizontal="right"/>
    </xf>
    <xf numFmtId="3" fontId="92" fillId="15" borderId="3" xfId="0" applyNumberFormat="1" applyFont="1" applyFill="1" applyBorder="1" applyAlignment="1"/>
    <xf numFmtId="176" fontId="3" fillId="0" borderId="0" xfId="0" applyNumberFormat="1" applyFont="1" applyAlignment="1"/>
    <xf numFmtId="0" fontId="34" fillId="15" borderId="5" xfId="0" applyFont="1" applyFill="1" applyBorder="1" applyAlignment="1">
      <alignment horizontal="center"/>
    </xf>
    <xf numFmtId="0" fontId="34" fillId="15" borderId="5" xfId="0" applyFont="1" applyFill="1" applyBorder="1" applyAlignment="1">
      <alignment horizontal="center"/>
    </xf>
    <xf numFmtId="3" fontId="3" fillId="0" borderId="5" xfId="0" applyNumberFormat="1" applyFont="1" applyBorder="1" applyAlignment="1"/>
    <xf numFmtId="0" fontId="34" fillId="20" borderId="5" xfId="0" applyFont="1" applyFill="1" applyBorder="1" applyAlignment="1">
      <alignment horizontal="center"/>
    </xf>
    <xf numFmtId="0" fontId="33" fillId="15" borderId="0" xfId="0" applyFont="1" applyFill="1" applyAlignment="1">
      <alignment horizontal="center"/>
    </xf>
    <xf numFmtId="0" fontId="33" fillId="20" borderId="0" xfId="0" applyFont="1" applyFill="1" applyAlignment="1">
      <alignment horizontal="right"/>
    </xf>
    <xf numFmtId="0" fontId="127" fillId="15" borderId="0" xfId="0" applyFont="1" applyFill="1" applyAlignment="1"/>
    <xf numFmtId="0" fontId="97" fillId="15" borderId="0" xfId="0" applyFont="1" applyFill="1"/>
    <xf numFmtId="0" fontId="128" fillId="15" borderId="0" xfId="0" applyFont="1" applyFill="1" applyAlignment="1">
      <alignment horizontal="center"/>
    </xf>
    <xf numFmtId="0" fontId="128" fillId="15" borderId="0" xfId="0" applyFont="1" applyFill="1" applyAlignment="1">
      <alignment horizontal="center"/>
    </xf>
    <xf numFmtId="0" fontId="52" fillId="20" borderId="0" xfId="0" applyFont="1" applyFill="1" applyAlignment="1">
      <alignment horizontal="center" vertical="top"/>
    </xf>
    <xf numFmtId="0" fontId="128" fillId="20" borderId="0" xfId="0" applyFont="1" applyFill="1" applyAlignment="1">
      <alignment horizontal="center"/>
    </xf>
    <xf numFmtId="0" fontId="52" fillId="15" borderId="0" xfId="0" applyFont="1" applyFill="1" applyAlignment="1">
      <alignment horizontal="center" vertical="top"/>
    </xf>
    <xf numFmtId="0" fontId="52" fillId="15" borderId="0" xfId="0" applyFont="1" applyFill="1" applyAlignment="1">
      <alignment horizontal="right"/>
    </xf>
    <xf numFmtId="0" fontId="52" fillId="15" borderId="0" xfId="0" applyFont="1" applyFill="1" applyAlignment="1">
      <alignment horizontal="center"/>
    </xf>
    <xf numFmtId="0" fontId="52" fillId="20" borderId="0" xfId="0" applyFont="1" applyFill="1" applyAlignment="1">
      <alignment horizontal="right"/>
    </xf>
    <xf numFmtId="3" fontId="12" fillId="11" borderId="3" xfId="0" applyNumberFormat="1" applyFont="1" applyFill="1" applyBorder="1" applyAlignment="1">
      <alignment horizontal="right"/>
    </xf>
    <xf numFmtId="3" fontId="15" fillId="11" borderId="0" xfId="0" applyNumberFormat="1" applyFont="1" applyFill="1" applyAlignment="1">
      <alignment horizontal="right"/>
    </xf>
    <xf numFmtId="0" fontId="99" fillId="15" borderId="0" xfId="0" applyFont="1" applyFill="1" applyAlignment="1">
      <alignment horizontal="center"/>
    </xf>
    <xf numFmtId="0" fontId="32" fillId="0" borderId="0" xfId="0" applyFont="1" applyAlignment="1">
      <alignment horizontal="right"/>
    </xf>
    <xf numFmtId="0" fontId="99" fillId="15" borderId="0" xfId="0" applyFont="1" applyFill="1" applyAlignment="1">
      <alignment horizontal="center"/>
    </xf>
    <xf numFmtId="4" fontId="32" fillId="0" borderId="0" xfId="0" applyNumberFormat="1" applyFont="1" applyAlignment="1">
      <alignment horizontal="right"/>
    </xf>
    <xf numFmtId="0" fontId="99" fillId="15" borderId="5" xfId="0" applyFont="1" applyFill="1" applyBorder="1" applyAlignment="1">
      <alignment horizontal="center"/>
    </xf>
    <xf numFmtId="0" fontId="99" fillId="20" borderId="0" xfId="0" applyFont="1" applyFill="1" applyAlignment="1">
      <alignment horizontal="center"/>
    </xf>
    <xf numFmtId="0" fontId="99" fillId="20" borderId="5" xfId="0" applyFont="1" applyFill="1" applyBorder="1" applyAlignment="1">
      <alignment horizontal="center"/>
    </xf>
    <xf numFmtId="0" fontId="52" fillId="15" borderId="5" xfId="0" applyFont="1" applyFill="1" applyBorder="1" applyAlignment="1">
      <alignment horizontal="right"/>
    </xf>
    <xf numFmtId="0" fontId="99" fillId="15" borderId="5" xfId="0" applyFont="1" applyFill="1" applyBorder="1" applyAlignment="1">
      <alignment horizontal="center"/>
    </xf>
    <xf numFmtId="0" fontId="127" fillId="15" borderId="7" xfId="0" applyFont="1" applyFill="1" applyBorder="1" applyAlignment="1"/>
    <xf numFmtId="0" fontId="12" fillId="0" borderId="3" xfId="0" applyFont="1" applyBorder="1" applyAlignment="1"/>
    <xf numFmtId="0" fontId="12" fillId="0" borderId="0" xfId="0" applyFont="1" applyAlignment="1"/>
    <xf numFmtId="164" fontId="3" fillId="39" borderId="0" xfId="0" applyNumberFormat="1" applyFont="1" applyFill="1" applyAlignment="1"/>
    <xf numFmtId="3" fontId="12" fillId="0" borderId="0" xfId="0" applyNumberFormat="1" applyFont="1" applyAlignment="1">
      <alignment horizontal="right"/>
    </xf>
    <xf numFmtId="0" fontId="14" fillId="0" borderId="17" xfId="0" applyFont="1" applyBorder="1" applyAlignment="1">
      <alignment horizontal="center"/>
    </xf>
    <xf numFmtId="0" fontId="63" fillId="20" borderId="0" xfId="0" applyFont="1" applyFill="1" applyAlignment="1">
      <alignment horizontal="center"/>
    </xf>
    <xf numFmtId="0" fontId="63" fillId="20" borderId="0" xfId="0" applyFont="1" applyFill="1" applyAlignment="1">
      <alignment horizontal="right"/>
    </xf>
    <xf numFmtId="0" fontId="62" fillId="15" borderId="0" xfId="0" applyFont="1" applyFill="1" applyAlignment="1">
      <alignment horizontal="center"/>
    </xf>
    <xf numFmtId="0" fontId="33" fillId="15" borderId="0" xfId="0" applyFont="1" applyFill="1" applyAlignment="1">
      <alignment horizontal="left" vertical="top"/>
    </xf>
    <xf numFmtId="0" fontId="57" fillId="15" borderId="0" xfId="0" applyFont="1" applyFill="1" applyAlignment="1">
      <alignment horizontal="right" vertical="top"/>
    </xf>
    <xf numFmtId="3" fontId="63" fillId="0" borderId="0" xfId="0" applyNumberFormat="1" applyFont="1" applyAlignment="1">
      <alignment horizontal="right"/>
    </xf>
    <xf numFmtId="0" fontId="61" fillId="15" borderId="0" xfId="0" applyFont="1" applyFill="1" applyAlignment="1"/>
    <xf numFmtId="0" fontId="97" fillId="0" borderId="0" xfId="0" applyFont="1" applyAlignment="1">
      <alignment horizontal="center"/>
    </xf>
    <xf numFmtId="0" fontId="97" fillId="20" borderId="0" xfId="0" applyFont="1" applyFill="1" applyAlignment="1">
      <alignment horizontal="center"/>
    </xf>
    <xf numFmtId="0" fontId="12" fillId="0" borderId="0" xfId="0" applyFont="1" applyAlignment="1">
      <alignment horizontal="center"/>
    </xf>
    <xf numFmtId="0" fontId="75" fillId="0" borderId="1" xfId="0" applyFont="1" applyBorder="1" applyAlignment="1"/>
    <xf numFmtId="0" fontId="15" fillId="0" borderId="1" xfId="0" applyFont="1" applyBorder="1" applyAlignment="1"/>
    <xf numFmtId="0" fontId="129" fillId="0" borderId="6" xfId="0" applyFont="1" applyBorder="1" applyAlignment="1"/>
    <xf numFmtId="0" fontId="73" fillId="20" borderId="1" xfId="0" applyFont="1" applyFill="1" applyBorder="1" applyAlignment="1"/>
    <xf numFmtId="0" fontId="126" fillId="20" borderId="0" xfId="0" applyFont="1" applyFill="1" applyAlignment="1"/>
    <xf numFmtId="0" fontId="126" fillId="20" borderId="3" xfId="0" applyFont="1" applyFill="1" applyBorder="1" applyAlignment="1">
      <alignment horizontal="right"/>
    </xf>
    <xf numFmtId="0" fontId="73" fillId="20" borderId="4" xfId="0" applyFont="1" applyFill="1" applyBorder="1" applyAlignment="1">
      <alignment horizontal="right"/>
    </xf>
    <xf numFmtId="0" fontId="73" fillId="0" borderId="1" xfId="0" applyFont="1" applyBorder="1" applyAlignment="1"/>
    <xf numFmtId="0" fontId="126" fillId="0" borderId="0" xfId="0" applyFont="1" applyAlignment="1"/>
    <xf numFmtId="0" fontId="126" fillId="0" borderId="0" xfId="0" applyFont="1" applyAlignment="1">
      <alignment horizontal="right"/>
    </xf>
    <xf numFmtId="0" fontId="73" fillId="0" borderId="5" xfId="0" applyFont="1" applyBorder="1" applyAlignment="1">
      <alignment horizontal="right"/>
    </xf>
    <xf numFmtId="0" fontId="126" fillId="20" borderId="0" xfId="0" applyFont="1" applyFill="1" applyAlignment="1">
      <alignment horizontal="right"/>
    </xf>
    <xf numFmtId="0" fontId="73" fillId="20" borderId="5" xfId="0" applyFont="1" applyFill="1" applyBorder="1" applyAlignment="1">
      <alignment horizontal="right"/>
    </xf>
    <xf numFmtId="0" fontId="34" fillId="0" borderId="0" xfId="0" applyFont="1" applyAlignment="1"/>
    <xf numFmtId="0" fontId="34" fillId="0" borderId="5" xfId="0" applyFont="1" applyBorder="1" applyAlignment="1"/>
    <xf numFmtId="0" fontId="34" fillId="0" borderId="3" xfId="0" applyFont="1" applyBorder="1" applyAlignment="1"/>
    <xf numFmtId="3" fontId="73" fillId="20" borderId="0" xfId="0" applyNumberFormat="1" applyFont="1" applyFill="1" applyAlignment="1"/>
    <xf numFmtId="3" fontId="73" fillId="20" borderId="3" xfId="0" applyNumberFormat="1" applyFont="1" applyFill="1" applyBorder="1" applyAlignment="1">
      <alignment horizontal="right"/>
    </xf>
    <xf numFmtId="0" fontId="34" fillId="20" borderId="0" xfId="0" applyFont="1" applyFill="1" applyAlignment="1"/>
    <xf numFmtId="3" fontId="126" fillId="20" borderId="3" xfId="0" applyNumberFormat="1" applyFont="1" applyFill="1" applyBorder="1" applyAlignment="1">
      <alignment horizontal="right"/>
    </xf>
    <xf numFmtId="3" fontId="34" fillId="20" borderId="0" xfId="0" applyNumberFormat="1" applyFont="1" applyFill="1" applyAlignment="1"/>
    <xf numFmtId="3" fontId="73" fillId="0" borderId="7" xfId="0" applyNumberFormat="1" applyFont="1" applyBorder="1" applyAlignment="1">
      <alignment horizontal="right"/>
    </xf>
    <xf numFmtId="0" fontId="73" fillId="0" borderId="7" xfId="0" applyFont="1" applyBorder="1" applyAlignment="1"/>
    <xf numFmtId="0" fontId="73" fillId="0" borderId="7" xfId="0" applyFont="1" applyBorder="1" applyAlignment="1">
      <alignment horizontal="right"/>
    </xf>
    <xf numFmtId="0" fontId="12" fillId="0" borderId="1" xfId="0" applyFont="1" applyBorder="1" applyAlignment="1"/>
    <xf numFmtId="0" fontId="73" fillId="20" borderId="0" xfId="0" applyFont="1" applyFill="1" applyAlignment="1"/>
    <xf numFmtId="0" fontId="73" fillId="0" borderId="0" xfId="0" applyFont="1" applyAlignment="1"/>
    <xf numFmtId="0" fontId="15" fillId="0" borderId="5" xfId="0" applyFont="1" applyBorder="1" applyAlignment="1"/>
    <xf numFmtId="0" fontId="15" fillId="0" borderId="3" xfId="0" applyFont="1" applyBorder="1" applyAlignment="1"/>
    <xf numFmtId="0" fontId="15" fillId="20" borderId="3" xfId="0" applyFont="1" applyFill="1" applyBorder="1" applyAlignment="1"/>
    <xf numFmtId="0" fontId="15" fillId="0" borderId="3" xfId="0" applyFont="1" applyBorder="1" applyAlignment="1">
      <alignment vertical="top"/>
    </xf>
    <xf numFmtId="0" fontId="130" fillId="20" borderId="0" xfId="0" applyFont="1" applyFill="1" applyAlignment="1">
      <alignment horizontal="left"/>
    </xf>
    <xf numFmtId="3" fontId="131" fillId="20" borderId="0" xfId="0" applyNumberFormat="1" applyFont="1" applyFill="1" applyAlignment="1">
      <alignment horizontal="right"/>
    </xf>
    <xf numFmtId="0" fontId="131" fillId="20" borderId="0" xfId="0" applyFont="1" applyFill="1" applyAlignment="1">
      <alignment horizontal="left"/>
    </xf>
    <xf numFmtId="3" fontId="131" fillId="20" borderId="5" xfId="0" applyNumberFormat="1" applyFont="1" applyFill="1" applyBorder="1" applyAlignment="1">
      <alignment horizontal="right"/>
    </xf>
    <xf numFmtId="3" fontId="130" fillId="20" borderId="0" xfId="0" applyNumberFormat="1" applyFont="1" applyFill="1" applyAlignment="1">
      <alignment horizontal="right"/>
    </xf>
    <xf numFmtId="0" fontId="130" fillId="0" borderId="0" xfId="0" applyFont="1" applyAlignment="1">
      <alignment horizontal="left"/>
    </xf>
    <xf numFmtId="3" fontId="131" fillId="0" borderId="0" xfId="0" applyNumberFormat="1" applyFont="1" applyAlignment="1">
      <alignment horizontal="right"/>
    </xf>
    <xf numFmtId="0" fontId="131" fillId="0" borderId="0" xfId="0" applyFont="1" applyAlignment="1">
      <alignment horizontal="left"/>
    </xf>
    <xf numFmtId="0" fontId="131" fillId="0" borderId="0" xfId="0" applyFont="1" applyAlignment="1">
      <alignment horizontal="right"/>
    </xf>
    <xf numFmtId="0" fontId="3" fillId="25" borderId="8" xfId="0" applyFont="1" applyFill="1" applyBorder="1"/>
    <xf numFmtId="0" fontId="105" fillId="20" borderId="0" xfId="0" applyFont="1" applyFill="1" applyAlignment="1">
      <alignment horizontal="left"/>
    </xf>
    <xf numFmtId="3" fontId="107" fillId="20" borderId="0" xfId="0" applyNumberFormat="1" applyFont="1" applyFill="1" applyAlignment="1">
      <alignment horizontal="right"/>
    </xf>
    <xf numFmtId="0" fontId="107" fillId="20" borderId="0" xfId="0" applyFont="1" applyFill="1" applyAlignment="1">
      <alignment horizontal="left"/>
    </xf>
    <xf numFmtId="0" fontId="15" fillId="20" borderId="5" xfId="0" applyFont="1" applyFill="1" applyBorder="1" applyAlignment="1">
      <alignment horizontal="left"/>
    </xf>
    <xf numFmtId="3" fontId="105" fillId="20" borderId="0" xfId="0" applyNumberFormat="1" applyFont="1" applyFill="1" applyAlignment="1">
      <alignment horizontal="right"/>
    </xf>
    <xf numFmtId="0" fontId="105" fillId="0" borderId="0" xfId="0" applyFont="1" applyAlignment="1">
      <alignment horizontal="left"/>
    </xf>
    <xf numFmtId="3" fontId="107" fillId="0" borderId="0" xfId="0" applyNumberFormat="1" applyFont="1" applyAlignment="1">
      <alignment horizontal="right"/>
    </xf>
    <xf numFmtId="0" fontId="107" fillId="0" borderId="0" xfId="0" applyFont="1" applyAlignment="1">
      <alignment horizontal="left"/>
    </xf>
    <xf numFmtId="0" fontId="107" fillId="0" borderId="0" xfId="0" applyFont="1" applyAlignment="1">
      <alignment horizontal="right"/>
    </xf>
    <xf numFmtId="0" fontId="15" fillId="0" borderId="5" xfId="0" applyFont="1" applyBorder="1" applyAlignment="1">
      <alignment horizontal="left"/>
    </xf>
    <xf numFmtId="0" fontId="132" fillId="0" borderId="0" xfId="0" applyFont="1" applyAlignment="1"/>
    <xf numFmtId="0" fontId="133" fillId="0" borderId="0" xfId="0" applyFont="1" applyAlignment="1">
      <alignment horizontal="left"/>
    </xf>
    <xf numFmtId="0" fontId="134" fillId="20" borderId="0" xfId="0" applyFont="1" applyFill="1" applyAlignment="1">
      <alignment horizontal="left"/>
    </xf>
    <xf numFmtId="0" fontId="15" fillId="0" borderId="7" xfId="0" applyFont="1" applyBorder="1" applyAlignment="1">
      <alignment horizontal="left"/>
    </xf>
    <xf numFmtId="0" fontId="5" fillId="0" borderId="3" xfId="0" applyFont="1" applyBorder="1" applyAlignment="1">
      <alignment horizontal="left"/>
    </xf>
    <xf numFmtId="0" fontId="84" fillId="0" borderId="0" xfId="0" applyFont="1" applyAlignment="1">
      <alignment horizontal="right"/>
    </xf>
    <xf numFmtId="0" fontId="6" fillId="23" borderId="0" xfId="0" applyFont="1" applyFill="1" applyAlignment="1">
      <alignment horizontal="left"/>
    </xf>
    <xf numFmtId="0" fontId="5" fillId="25" borderId="0" xfId="0" applyFont="1" applyFill="1" applyAlignment="1">
      <alignment horizontal="right"/>
    </xf>
    <xf numFmtId="0" fontId="15" fillId="23" borderId="0" xfId="0" applyFont="1" applyFill="1" applyAlignment="1">
      <alignment horizontal="left"/>
    </xf>
    <xf numFmtId="3" fontId="18" fillId="0" borderId="17" xfId="0" applyNumberFormat="1" applyFont="1" applyBorder="1" applyAlignment="1">
      <alignment horizontal="left" vertical="top"/>
    </xf>
    <xf numFmtId="0" fontId="135" fillId="0" borderId="0" xfId="0" applyFont="1" applyAlignment="1">
      <alignment horizontal="left"/>
    </xf>
    <xf numFmtId="0" fontId="5" fillId="0" borderId="0" xfId="0" applyFont="1" applyAlignment="1">
      <alignment horizontal="right"/>
    </xf>
    <xf numFmtId="0" fontId="6" fillId="0" borderId="0" xfId="0" applyFont="1" applyAlignment="1">
      <alignment horizontal="left"/>
    </xf>
    <xf numFmtId="3" fontId="5" fillId="0" borderId="0" xfId="0" applyNumberFormat="1" applyFont="1" applyAlignment="1">
      <alignment horizontal="right"/>
    </xf>
    <xf numFmtId="0" fontId="5" fillId="0" borderId="0" xfId="0" applyFont="1" applyAlignment="1">
      <alignment horizontal="left"/>
    </xf>
    <xf numFmtId="4" fontId="5" fillId="0" borderId="0" xfId="0" applyNumberFormat="1" applyFont="1" applyAlignment="1">
      <alignment horizontal="right"/>
    </xf>
    <xf numFmtId="4" fontId="6" fillId="0" borderId="5" xfId="0" applyNumberFormat="1" applyFont="1" applyBorder="1" applyAlignment="1">
      <alignment horizontal="right"/>
    </xf>
    <xf numFmtId="3" fontId="5" fillId="23" borderId="0" xfId="0" applyNumberFormat="1" applyFont="1" applyFill="1" applyAlignment="1">
      <alignment horizontal="right"/>
    </xf>
    <xf numFmtId="0" fontId="5" fillId="23" borderId="0" xfId="0" applyFont="1" applyFill="1" applyAlignment="1">
      <alignment horizontal="left"/>
    </xf>
    <xf numFmtId="0" fontId="5" fillId="23" borderId="0" xfId="0" applyFont="1" applyFill="1" applyAlignment="1">
      <alignment horizontal="right"/>
    </xf>
    <xf numFmtId="4" fontId="5" fillId="23" borderId="0" xfId="0" applyNumberFormat="1" applyFont="1" applyFill="1" applyAlignment="1">
      <alignment horizontal="right"/>
    </xf>
    <xf numFmtId="4" fontId="6" fillId="23" borderId="5" xfId="0" applyNumberFormat="1" applyFont="1" applyFill="1" applyBorder="1" applyAlignment="1">
      <alignment horizontal="right"/>
    </xf>
    <xf numFmtId="0" fontId="15" fillId="0" borderId="7" xfId="0" applyFont="1" applyBorder="1" applyAlignment="1">
      <alignment horizontal="left"/>
    </xf>
    <xf numFmtId="0" fontId="32" fillId="0" borderId="0" xfId="0" applyFont="1" applyAlignment="1">
      <alignment wrapText="1"/>
    </xf>
    <xf numFmtId="3" fontId="6" fillId="23" borderId="0" xfId="0" applyNumberFormat="1" applyFont="1" applyFill="1" applyAlignment="1">
      <alignment horizontal="right"/>
    </xf>
    <xf numFmtId="0" fontId="15" fillId="0" borderId="0" xfId="0" applyFont="1" applyAlignment="1">
      <alignment horizontal="left"/>
    </xf>
    <xf numFmtId="3" fontId="84" fillId="23" borderId="3" xfId="0" applyNumberFormat="1" applyFont="1" applyFill="1" applyBorder="1" applyAlignment="1">
      <alignment horizontal="right"/>
    </xf>
    <xf numFmtId="0" fontId="18" fillId="0" borderId="18" xfId="0" applyFont="1" applyBorder="1" applyAlignment="1">
      <alignment horizontal="left"/>
    </xf>
    <xf numFmtId="0" fontId="18" fillId="0" borderId="17" xfId="0" applyFont="1" applyBorder="1" applyAlignment="1">
      <alignment horizontal="left" vertical="top"/>
    </xf>
    <xf numFmtId="0" fontId="6" fillId="23" borderId="1" xfId="0" applyFont="1" applyFill="1" applyBorder="1" applyAlignment="1">
      <alignment horizontal="left"/>
    </xf>
    <xf numFmtId="0" fontId="6" fillId="0" borderId="1" xfId="0" applyFont="1" applyBorder="1" applyAlignment="1">
      <alignment horizontal="left"/>
    </xf>
    <xf numFmtId="0" fontId="32" fillId="0" borderId="6" xfId="0" applyFont="1" applyBorder="1" applyAlignment="1">
      <alignment wrapText="1"/>
    </xf>
    <xf numFmtId="0" fontId="32" fillId="0" borderId="7" xfId="0" applyFont="1" applyBorder="1" applyAlignment="1">
      <alignment wrapText="1"/>
    </xf>
    <xf numFmtId="0" fontId="32" fillId="25" borderId="8" xfId="0" applyFont="1" applyFill="1" applyBorder="1" applyAlignment="1">
      <alignment wrapText="1"/>
    </xf>
    <xf numFmtId="3" fontId="84" fillId="23" borderId="0" xfId="0" applyNumberFormat="1" applyFont="1" applyFill="1" applyAlignment="1">
      <alignment horizontal="right"/>
    </xf>
    <xf numFmtId="0" fontId="15" fillId="0" borderId="0" xfId="0" applyFont="1" applyAlignment="1">
      <alignment horizontal="left"/>
    </xf>
    <xf numFmtId="4" fontId="6" fillId="23" borderId="0" xfId="0" applyNumberFormat="1" applyFont="1" applyFill="1" applyAlignment="1">
      <alignment horizontal="right"/>
    </xf>
    <xf numFmtId="4" fontId="6" fillId="0" borderId="0" xfId="0" applyNumberFormat="1" applyFont="1" applyAlignment="1">
      <alignment horizontal="right"/>
    </xf>
    <xf numFmtId="0" fontId="33" fillId="15" borderId="0" xfId="0" applyFont="1" applyFill="1" applyAlignment="1">
      <alignment horizontal="left" vertical="top" wrapText="1"/>
    </xf>
    <xf numFmtId="0" fontId="0" fillId="0" borderId="0" xfId="0" applyFont="1" applyAlignment="1"/>
    <xf numFmtId="0" fontId="3" fillId="0" borderId="0" xfId="0" applyFont="1" applyAlignment="1">
      <alignment wrapText="1"/>
    </xf>
    <xf numFmtId="0" fontId="3" fillId="0" borderId="5" xfId="0" applyFont="1" applyBorder="1"/>
    <xf numFmtId="0" fontId="12" fillId="15" borderId="3" xfId="0" applyFont="1" applyFill="1" applyBorder="1" applyAlignment="1">
      <alignment wrapText="1"/>
    </xf>
    <xf numFmtId="0" fontId="3" fillId="0" borderId="3" xfId="0" applyFont="1" applyBorder="1"/>
    <xf numFmtId="0" fontId="3" fillId="0" borderId="4" xfId="0" applyFont="1" applyBorder="1"/>
    <xf numFmtId="0" fontId="12" fillId="15" borderId="0" xfId="0" applyFont="1" applyFill="1" applyAlignment="1">
      <alignment wrapText="1"/>
    </xf>
    <xf numFmtId="0" fontId="53" fillId="15" borderId="0" xfId="0" applyFont="1" applyFill="1" applyAlignment="1">
      <alignment horizontal="right"/>
    </xf>
    <xf numFmtId="0" fontId="53" fillId="15" borderId="0" xfId="0" applyFont="1" applyFill="1" applyAlignment="1">
      <alignment horizontal="center"/>
    </xf>
    <xf numFmtId="0" fontId="62" fillId="15" borderId="0" xfId="0" applyFont="1" applyFill="1" applyAlignment="1">
      <alignment horizontal="right"/>
    </xf>
    <xf numFmtId="0" fontId="57" fillId="15" borderId="0" xfId="0" applyFont="1" applyFill="1" applyAlignment="1">
      <alignment horizontal="center"/>
    </xf>
    <xf numFmtId="0" fontId="80" fillId="0" borderId="7" xfId="0" applyFont="1" applyBorder="1" applyAlignment="1">
      <alignment horizontal="center"/>
    </xf>
    <xf numFmtId="0" fontId="3" fillId="0" borderId="7" xfId="0" applyFont="1" applyBorder="1"/>
    <xf numFmtId="0" fontId="75" fillId="0" borderId="0" xfId="0" applyFont="1" applyAlignment="1">
      <alignment horizontal="right"/>
    </xf>
    <xf numFmtId="0" fontId="75" fillId="0" borderId="7" xfId="0" applyFont="1" applyBorder="1" applyAlignment="1">
      <alignment horizontal="right"/>
    </xf>
    <xf numFmtId="0" fontId="75" fillId="20" borderId="0" xfId="0" applyFont="1" applyFill="1" applyAlignment="1">
      <alignment horizontal="right"/>
    </xf>
    <xf numFmtId="0" fontId="3" fillId="24" borderId="1" xfId="0" applyFont="1" applyFill="1" applyBorder="1" applyAlignment="1">
      <alignment wrapText="1"/>
    </xf>
    <xf numFmtId="0" fontId="3" fillId="0" borderId="1" xfId="0" applyFont="1" applyBorder="1"/>
    <xf numFmtId="0" fontId="58" fillId="15" borderId="1" xfId="0" applyFont="1" applyFill="1" applyBorder="1" applyAlignment="1">
      <alignment wrapText="1"/>
    </xf>
    <xf numFmtId="0" fontId="3" fillId="0" borderId="1" xfId="0" applyFont="1" applyBorder="1" applyAlignment="1">
      <alignment wrapText="1"/>
    </xf>
    <xf numFmtId="0" fontId="52" fillId="15" borderId="0" xfId="0" applyFont="1" applyFill="1" applyAlignment="1">
      <alignment wrapText="1"/>
    </xf>
    <xf numFmtId="0" fontId="75" fillId="0" borderId="0" xfId="0" applyFont="1" applyAlignment="1">
      <alignment wrapText="1"/>
    </xf>
    <xf numFmtId="3" fontId="73" fillId="20" borderId="0" xfId="0" applyNumberFormat="1" applyFont="1" applyFill="1" applyAlignment="1">
      <alignment horizontal="right"/>
    </xf>
    <xf numFmtId="0" fontId="72" fillId="0" borderId="7" xfId="0" applyFont="1" applyBorder="1" applyAlignment="1">
      <alignment horizontal="center"/>
    </xf>
    <xf numFmtId="0" fontId="73" fillId="20" borderId="7" xfId="0" applyFont="1" applyFill="1" applyBorder="1" applyAlignment="1">
      <alignment horizontal="right"/>
    </xf>
    <xf numFmtId="0" fontId="73" fillId="0" borderId="0" xfId="0" applyFont="1" applyAlignment="1">
      <alignment horizontal="right"/>
    </xf>
    <xf numFmtId="0" fontId="81" fillId="0" borderId="0" xfId="0" applyFont="1" applyAlignment="1">
      <alignment wrapText="1"/>
    </xf>
    <xf numFmtId="0" fontId="93" fillId="15" borderId="0" xfId="0" applyFont="1" applyFill="1" applyAlignment="1">
      <alignment wrapText="1"/>
    </xf>
    <xf numFmtId="0" fontId="93" fillId="33" borderId="0" xfId="0" applyFont="1" applyFill="1" applyAlignment="1">
      <alignment wrapText="1"/>
    </xf>
    <xf numFmtId="0" fontId="3" fillId="0" borderId="8" xfId="0" applyFont="1" applyBorder="1"/>
    <xf numFmtId="0" fontId="104" fillId="15" borderId="0" xfId="0" applyFont="1" applyFill="1" applyAlignment="1">
      <alignment wrapText="1"/>
    </xf>
    <xf numFmtId="0" fontId="12" fillId="15" borderId="1" xfId="0" applyFont="1" applyFill="1" applyBorder="1" applyAlignment="1">
      <alignment wrapText="1"/>
    </xf>
    <xf numFmtId="0" fontId="3" fillId="0" borderId="6" xfId="0" applyFont="1" applyBorder="1"/>
    <xf numFmtId="0" fontId="109" fillId="15" borderId="0" xfId="0" applyFont="1" applyFill="1" applyAlignment="1">
      <alignment wrapText="1"/>
    </xf>
    <xf numFmtId="0" fontId="101" fillId="15" borderId="0" xfId="0" applyFont="1" applyFill="1" applyAlignment="1">
      <alignment horizontal="left" vertical="top" wrapText="1"/>
    </xf>
    <xf numFmtId="0" fontId="36" fillId="5" borderId="0" xfId="0" applyFont="1" applyFill="1" applyAlignment="1">
      <alignment horizontal="right"/>
    </xf>
    <xf numFmtId="0" fontId="15" fillId="15" borderId="0" xfId="0" applyFont="1" applyFill="1" applyAlignment="1">
      <alignment horizontal="right"/>
    </xf>
    <xf numFmtId="0" fontId="108" fillId="15" borderId="3" xfId="0" applyFont="1" applyFill="1" applyBorder="1" applyAlignment="1">
      <alignment wrapText="1"/>
    </xf>
    <xf numFmtId="0" fontId="15" fillId="0" borderId="0" xfId="0" applyFont="1" applyAlignment="1">
      <alignment horizontal="right"/>
    </xf>
    <xf numFmtId="0" fontId="49" fillId="38" borderId="0" xfId="0" applyFont="1" applyFill="1" applyAlignment="1">
      <alignment horizontal="right"/>
    </xf>
    <xf numFmtId="0" fontId="33" fillId="15" borderId="0" xfId="0" applyFont="1" applyFill="1" applyAlignment="1">
      <alignment horizontal="right"/>
    </xf>
    <xf numFmtId="0" fontId="108" fillId="15" borderId="0" xfId="0" applyFont="1" applyFill="1" applyAlignment="1">
      <alignment wrapText="1"/>
    </xf>
    <xf numFmtId="0" fontId="3" fillId="0" borderId="0" xfId="0" applyFont="1"/>
    <xf numFmtId="0" fontId="3" fillId="0" borderId="0" xfId="0" applyFont="1" applyAlignment="1"/>
    <xf numFmtId="176" fontId="12" fillId="15" borderId="0" xfId="0" applyNumberFormat="1" applyFont="1" applyFill="1" applyAlignment="1">
      <alignment horizontal="right"/>
    </xf>
    <xf numFmtId="176" fontId="16" fillId="38" borderId="0" xfId="0" applyNumberFormat="1" applyFont="1" applyFill="1" applyAlignment="1">
      <alignment horizontal="right"/>
    </xf>
    <xf numFmtId="0" fontId="113" fillId="15" borderId="0" xfId="0" applyFont="1" applyFill="1" applyAlignment="1">
      <alignment wrapText="1"/>
    </xf>
    <xf numFmtId="0" fontId="12" fillId="15" borderId="2" xfId="0" applyFont="1" applyFill="1" applyBorder="1" applyAlignment="1">
      <alignment wrapText="1"/>
    </xf>
    <xf numFmtId="0" fontId="15" fillId="15" borderId="0" xfId="0" applyFont="1" applyFill="1" applyAlignment="1">
      <alignment horizontal="center"/>
    </xf>
    <xf numFmtId="0" fontId="36" fillId="5" borderId="0" xfId="0" applyFont="1" applyFill="1" applyAlignment="1">
      <alignment horizontal="center"/>
    </xf>
    <xf numFmtId="3" fontId="24" fillId="20" borderId="0" xfId="0" applyNumberFormat="1" applyFont="1" applyFill="1" applyAlignment="1">
      <alignment horizontal="right"/>
    </xf>
    <xf numFmtId="0" fontId="36" fillId="15" borderId="1" xfId="0" applyFont="1" applyFill="1" applyBorder="1" applyAlignment="1">
      <alignment vertical="top"/>
    </xf>
    <xf numFmtId="0" fontId="11" fillId="15" borderId="1" xfId="0" applyFont="1" applyFill="1" applyBorder="1" applyAlignment="1">
      <alignment horizontal="center"/>
    </xf>
    <xf numFmtId="0" fontId="3" fillId="39" borderId="1" xfId="0" applyFont="1" applyFill="1" applyBorder="1"/>
    <xf numFmtId="0" fontId="34" fillId="15" borderId="0" xfId="0" applyFont="1" applyFill="1" applyAlignment="1"/>
    <xf numFmtId="0" fontId="111" fillId="15" borderId="0" xfId="0" applyFont="1" applyFill="1" applyAlignment="1">
      <alignment wrapText="1"/>
    </xf>
    <xf numFmtId="0" fontId="12" fillId="0" borderId="0" xfId="0" applyFont="1" applyAlignment="1"/>
    <xf numFmtId="0" fontId="111" fillId="15" borderId="1" xfId="0" applyFont="1" applyFill="1" applyBorder="1" applyAlignment="1">
      <alignment horizontal="center"/>
    </xf>
    <xf numFmtId="3" fontId="126" fillId="20" borderId="0" xfId="0" applyNumberFormat="1" applyFont="1" applyFill="1" applyAlignment="1">
      <alignment horizontal="right"/>
    </xf>
    <xf numFmtId="0" fontId="36" fillId="15" borderId="0" xfId="0" applyFont="1" applyFill="1" applyAlignment="1"/>
    <xf numFmtId="0" fontId="3" fillId="0" borderId="2" xfId="0" applyFont="1" applyBorder="1"/>
    <xf numFmtId="3" fontId="73" fillId="0" borderId="0" xfId="0" applyNumberFormat="1" applyFont="1" applyAlignment="1">
      <alignment horizontal="right"/>
    </xf>
    <xf numFmtId="0" fontId="50" fillId="15" borderId="0" xfId="0" applyFont="1" applyFill="1" applyAlignment="1">
      <alignment horizontal="center"/>
    </xf>
    <xf numFmtId="0" fontId="71" fillId="15" borderId="0" xfId="0" applyFont="1" applyFill="1" applyAlignment="1">
      <alignment horizontal="center"/>
    </xf>
    <xf numFmtId="0" fontId="14" fillId="0" borderId="0" xfId="0" applyFont="1" applyAlignment="1">
      <alignment horizontal="center"/>
    </xf>
    <xf numFmtId="0" fontId="14" fillId="0" borderId="15" xfId="0" applyFont="1" applyBorder="1" applyAlignment="1">
      <alignment horizontal="center"/>
    </xf>
    <xf numFmtId="0" fontId="3" fillId="0" borderId="13" xfId="0" applyFont="1" applyBorder="1"/>
    <xf numFmtId="0" fontId="3" fillId="0" borderId="16" xfId="0" applyFont="1" applyBorder="1"/>
    <xf numFmtId="0" fontId="3" fillId="0" borderId="3" xfId="0" applyFont="1" applyBorder="1" applyAlignment="1">
      <alignment wrapText="1"/>
    </xf>
    <xf numFmtId="0" fontId="107" fillId="0" borderId="0" xfId="0" applyFont="1" applyAlignment="1">
      <alignment horizontal="center"/>
    </xf>
    <xf numFmtId="3" fontId="5" fillId="0" borderId="3" xfId="0" applyNumberFormat="1" applyFont="1" applyBorder="1" applyAlignment="1">
      <alignment horizontal="right"/>
    </xf>
    <xf numFmtId="0" fontId="6" fillId="0" borderId="0" xfId="0" applyFont="1" applyAlignment="1">
      <alignment horizontal="right"/>
    </xf>
    <xf numFmtId="3" fontId="107" fillId="0" borderId="0" xfId="0" applyNumberFormat="1" applyFont="1" applyAlignment="1">
      <alignment horizontal="right"/>
    </xf>
    <xf numFmtId="0" fontId="15" fillId="0" borderId="0" xfId="0" applyFont="1" applyAlignment="1">
      <alignment vertical="top" wrapText="1"/>
    </xf>
    <xf numFmtId="0" fontId="5" fillId="0" borderId="0" xfId="0" applyFont="1" applyAlignment="1">
      <alignment horizontal="right"/>
    </xf>
    <xf numFmtId="0" fontId="12" fillId="0" borderId="0" xfId="0" applyFont="1" applyAlignment="1">
      <alignment wrapText="1"/>
    </xf>
    <xf numFmtId="0" fontId="5" fillId="23" borderId="0" xfId="0" applyFont="1" applyFill="1" applyAlignment="1">
      <alignment horizontal="right"/>
    </xf>
    <xf numFmtId="0" fontId="6" fillId="23" borderId="0" xfId="0" applyFont="1" applyFill="1" applyAlignment="1">
      <alignment horizontal="right"/>
    </xf>
    <xf numFmtId="3" fontId="105" fillId="0" borderId="0" xfId="0" applyNumberFormat="1" applyFont="1" applyAlignment="1">
      <alignment horizontal="right"/>
    </xf>
    <xf numFmtId="3" fontId="107" fillId="20" borderId="0" xfId="0" applyNumberFormat="1" applyFont="1" applyFill="1" applyAlignment="1">
      <alignment horizontal="right"/>
    </xf>
    <xf numFmtId="3" fontId="105" fillId="20" borderId="0" xfId="0" applyNumberFormat="1" applyFont="1" applyFill="1" applyAlignment="1">
      <alignment horizontal="right"/>
    </xf>
    <xf numFmtId="3" fontId="130" fillId="20" borderId="0" xfId="0" applyNumberFormat="1" applyFont="1" applyFill="1" applyAlignment="1">
      <alignment horizontal="right"/>
    </xf>
    <xf numFmtId="3" fontId="130" fillId="0" borderId="0" xfId="0" applyNumberFormat="1" applyFont="1" applyAlignment="1">
      <alignment horizontal="right"/>
    </xf>
    <xf numFmtId="3" fontId="131" fillId="0" borderId="0" xfId="0" applyNumberFormat="1" applyFont="1" applyAlignment="1">
      <alignment horizontal="right"/>
    </xf>
    <xf numFmtId="3" fontId="131" fillId="20" borderId="0" xfId="0" applyNumberFormat="1" applyFont="1" applyFill="1" applyAlignment="1">
      <alignment horizontal="right"/>
    </xf>
    <xf numFmtId="0" fontId="72" fillId="0" borderId="13" xfId="0" applyFont="1" applyBorder="1" applyAlignment="1">
      <alignment horizontal="right"/>
    </xf>
    <xf numFmtId="0" fontId="102" fillId="0" borderId="7" xfId="0" applyFont="1" applyBorder="1" applyAlignment="1">
      <alignment horizontal="center"/>
    </xf>
    <xf numFmtId="0" fontId="72" fillId="0" borderId="7" xfId="0" applyFont="1" applyBorder="1" applyAlignment="1">
      <alignment horizontal="right"/>
    </xf>
    <xf numFmtId="0" fontId="12" fillId="0" borderId="1" xfId="0" applyFont="1" applyBorder="1" applyAlignment="1">
      <alignment wrapText="1"/>
    </xf>
    <xf numFmtId="0" fontId="96" fillId="0" borderId="1" xfId="0" applyFont="1" applyBorder="1" applyAlignment="1">
      <alignment wrapText="1"/>
    </xf>
    <xf numFmtId="3" fontId="126" fillId="0" borderId="7" xfId="0" applyNumberFormat="1" applyFont="1" applyBorder="1" applyAlignment="1">
      <alignment horizontal="right"/>
    </xf>
    <xf numFmtId="0" fontId="72" fillId="0" borderId="13" xfId="0" applyFont="1" applyBorder="1" applyAlignment="1">
      <alignment horizontal="center"/>
    </xf>
    <xf numFmtId="3" fontId="73" fillId="0" borderId="7" xfId="0" applyNumberFormat="1" applyFont="1" applyBorder="1" applyAlignment="1">
      <alignment horizontal="right"/>
    </xf>
    <xf numFmtId="0" fontId="7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thevault.exchange/?get_group_doc=143/1502781735-CDPSubmission2012.pdf" TargetMode="External"/><Relationship Id="rId2" Type="http://schemas.openxmlformats.org/officeDocument/2006/relationships/hyperlink" Target="https://thevault.exchange/?get_group_doc=143/1502781716-CDPSubmission2011.pdf" TargetMode="External"/><Relationship Id="rId1" Type="http://schemas.openxmlformats.org/officeDocument/2006/relationships/hyperlink" Target="https://thevault.exchange/?get_group_doc=143/1502781678-CDPSubmission2010.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mcxindia.com/education-training/knowledge-series/methodogies/aav" TargetMode="External"/><Relationship Id="rId2" Type="http://schemas.openxmlformats.org/officeDocument/2006/relationships/hyperlink" Target="https://www.treasury.gov/resource-center/data-chart-center/interest-rates/Pages/TextView.aspx?data=yieldYear&amp;year=2017" TargetMode="External"/><Relationship Id="rId1" Type="http://schemas.openxmlformats.org/officeDocument/2006/relationships/hyperlink" Target="https://www.exchange-rates.org/Rate/USD/ZAR/12-28-2017"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convertunits.com/from/gallon/to/MWh" TargetMode="External"/><Relationship Id="rId2" Type="http://schemas.openxmlformats.org/officeDocument/2006/relationships/hyperlink" Target="https://www.convertunits.com/from/gallon+%5BU.S.%5D+of+diesel+oil/to/MWh" TargetMode="External"/><Relationship Id="rId1" Type="http://schemas.openxmlformats.org/officeDocument/2006/relationships/hyperlink" Target="http://csr.goldcorp.com/2009/6_energy.html" TargetMode="External"/><Relationship Id="rId4" Type="http://schemas.openxmlformats.org/officeDocument/2006/relationships/hyperlink" Target="https://s22.q4cdn.com/653477107/files/2017-Sustainability-Report.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yamana.com/responsibility/corporate-social-responsibility/gri-index/default.aspx"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barrick.q4cdn.com/788666289/files/responsibility/report/Barrick-2013-Corporate-Responsibility-Report.pdf" TargetMode="External"/><Relationship Id="rId117" Type="http://schemas.openxmlformats.org/officeDocument/2006/relationships/hyperlink" Target="https://www.sec.gov/Archives/edgar/data/1067428/000119312515116866/d899935d20f.htm" TargetMode="External"/><Relationship Id="rId21" Type="http://schemas.openxmlformats.org/officeDocument/2006/relationships/hyperlink" Target="https://www.sec.gov/Archives/edgar/data/756894/000110465911017950/a10-24327_1ex99d3.htm" TargetMode="External"/><Relationship Id="rId42" Type="http://schemas.openxmlformats.org/officeDocument/2006/relationships/hyperlink" Target="https://www.sec.gov/Archives/edgar/data/1164727/000156459015000777/nem-10k_20141231.htm" TargetMode="External"/><Relationship Id="rId47" Type="http://schemas.openxmlformats.org/officeDocument/2006/relationships/hyperlink" Target="https://s2.q4cdn.com/496390694/files/doc_downloads/reports_and_downloads/kinross2010datatablesfinal.pdf" TargetMode="External"/><Relationship Id="rId63" Type="http://schemas.openxmlformats.org/officeDocument/2006/relationships/hyperlink" Target="https://s3-us-west-2.amazonaws.com/ungc-production/attachments/11823/original/Goldcorp_SR_2010_final.pdf?1314912284" TargetMode="External"/><Relationship Id="rId68" Type="http://schemas.openxmlformats.org/officeDocument/2006/relationships/hyperlink" Target="https://www.sec.gov/Archives/edgar/data/919239/000119312514124285/d688948dex993.htm" TargetMode="External"/><Relationship Id="rId84" Type="http://schemas.openxmlformats.org/officeDocument/2006/relationships/hyperlink" Target="https://www.goldfields.com/pdf/sustainbility/sustainability-reporting/carbon-submissions/cdp-submission/cdp-submission-2011.pdf" TargetMode="External"/><Relationship Id="rId89" Type="http://schemas.openxmlformats.org/officeDocument/2006/relationships/hyperlink" Target="https://www.sec.gov/Archives/edgar/data/1172724/000119312514159410/d646278d20f.htm" TargetMode="External"/><Relationship Id="rId112" Type="http://schemas.openxmlformats.org/officeDocument/2006/relationships/hyperlink" Target="https://thevault.exchange/?get_group_doc=143/1502781803-CDPSubmission2013.pdf" TargetMode="External"/><Relationship Id="rId133" Type="http://schemas.openxmlformats.org/officeDocument/2006/relationships/hyperlink" Target="https://s2.q4cdn.com/536453762/files/doc_downloads/sustainability_report/0222_YIR_WEB-(1).pdf" TargetMode="External"/><Relationship Id="rId138" Type="http://schemas.openxmlformats.org/officeDocument/2006/relationships/hyperlink" Target="https://www.sec.gov/Archives/edgar/data/1264089/000110465911018151/a11-6607_3ex99d3.htm" TargetMode="External"/><Relationship Id="rId154" Type="http://schemas.openxmlformats.org/officeDocument/2006/relationships/hyperlink" Target="https://www.sec.gov/Archives/edgar/data/1203464/000119312513124666/d508933dex993.htm" TargetMode="External"/><Relationship Id="rId159" Type="http://schemas.openxmlformats.org/officeDocument/2006/relationships/hyperlink" Target="https://www.sec.gov/Archives/edgar/data/1203464/000119312517052284/d296263dex993.htm" TargetMode="External"/><Relationship Id="rId175" Type="http://schemas.openxmlformats.org/officeDocument/2006/relationships/hyperlink" Target="http://2017sustainabilityreport.newgold.com/energymanagement.php" TargetMode="External"/><Relationship Id="rId170" Type="http://schemas.openxmlformats.org/officeDocument/2006/relationships/hyperlink" Target="http://2014sustainabilityreport.newgold.com/energymanagement.php" TargetMode="External"/><Relationship Id="rId16" Type="http://schemas.openxmlformats.org/officeDocument/2006/relationships/hyperlink" Target="https://s21.q4cdn.com/374334112/files/doc_downloads/2018/11344_SD-Summary_2017_EN.pdf" TargetMode="External"/><Relationship Id="rId107" Type="http://schemas.openxmlformats.org/officeDocument/2006/relationships/hyperlink" Target="https://www.sec.gov/Archives/edgar/data/1067428/000095012311055267/w82698e20vf.htm" TargetMode="External"/><Relationship Id="rId11" Type="http://schemas.openxmlformats.org/officeDocument/2006/relationships/hyperlink" Target="https://www.sec.gov/Archives/edgar/data/2809/000104746915002736/a2223824zex-99_2.htm" TargetMode="External"/><Relationship Id="rId32" Type="http://schemas.openxmlformats.org/officeDocument/2006/relationships/hyperlink" Target="https://barrick.q4cdn.com/788666289/files/responsibility/Barrick-2016-GRI-Content-Index.pdf" TargetMode="External"/><Relationship Id="rId37" Type="http://schemas.openxmlformats.org/officeDocument/2006/relationships/hyperlink" Target="https://www.sec.gov/Archives/edgar/data/1164727/000095012311017350/d79003e10vk.htm" TargetMode="External"/><Relationship Id="rId53" Type="http://schemas.openxmlformats.org/officeDocument/2006/relationships/hyperlink" Target="https://s2.q4cdn.com/496390694/files/doc_downloads/reports_and_downloads/kinross_2013_corporate_responsibility_report.pdf" TargetMode="External"/><Relationship Id="rId58" Type="http://schemas.openxmlformats.org/officeDocument/2006/relationships/hyperlink" Target="https://www.sec.gov/Archives/edgar/data/701818/000104746917002232/a2231585zex-99_3.htm" TargetMode="External"/><Relationship Id="rId74" Type="http://schemas.openxmlformats.org/officeDocument/2006/relationships/hyperlink" Target="https://s22.q4cdn.com/653477107/files/doc_financials/2016/0_0_goldcorp_csr_2016_full.pdf" TargetMode="External"/><Relationship Id="rId79" Type="http://schemas.openxmlformats.org/officeDocument/2006/relationships/hyperlink" Target="http://www.annualreports.com/HostedData/AnnualReportArchive/g/NYSE_GFI_2009.pdf" TargetMode="External"/><Relationship Id="rId102" Type="http://schemas.openxmlformats.org/officeDocument/2006/relationships/hyperlink" Target="https://www.goldfields.com/pdf/sustainbility/sustainability-reporting/carbon-submissions/cdp-submission/cdp-submission-2017.pdf" TargetMode="External"/><Relationship Id="rId123" Type="http://schemas.openxmlformats.org/officeDocument/2006/relationships/hyperlink" Target="http://www.annualreports.com/HostedData/AnnualReportArchive/e/AMEX_EGO_2010.pdf" TargetMode="External"/><Relationship Id="rId128" Type="http://schemas.openxmlformats.org/officeDocument/2006/relationships/hyperlink" Target="https://s2.q4cdn.com/536453762/files/doc_downloads/Eldorado_CSR-2014_WEB.PDF" TargetMode="External"/><Relationship Id="rId144" Type="http://schemas.openxmlformats.org/officeDocument/2006/relationships/hyperlink" Target="https://s22.q4cdn.com/899716706/files/doc_downloads/CSR/2014/2014-Yamana-CSR-EN.pdf" TargetMode="External"/><Relationship Id="rId149" Type="http://schemas.openxmlformats.org/officeDocument/2006/relationships/hyperlink" Target="https://www.sec.gov/Archives/edgar/data/1264089/000126408917000004/ex9932016fs.htm" TargetMode="External"/><Relationship Id="rId5" Type="http://schemas.openxmlformats.org/officeDocument/2006/relationships/hyperlink" Target="https://s21.q4cdn.com/374334112/files/doc_downloads/sd_reports/2011English-Full.pdf" TargetMode="External"/><Relationship Id="rId90" Type="http://schemas.openxmlformats.org/officeDocument/2006/relationships/hyperlink" Target="https://www.goldfields.com/pdf/sustainbility/sustainability-reporting/carbon-submissions/cdp-submission/cdp-submission-2013.pdf" TargetMode="External"/><Relationship Id="rId95" Type="http://schemas.openxmlformats.org/officeDocument/2006/relationships/hyperlink" Target="https://www.sec.gov/Archives/edgar/data/1172724/000119312516539436/d10119d20f.htm" TargetMode="External"/><Relationship Id="rId160" Type="http://schemas.openxmlformats.org/officeDocument/2006/relationships/hyperlink" Target="https://www.sec.gov/Archives/edgar/data/1203464/000119312518052173/d489714dex993.htm" TargetMode="External"/><Relationship Id="rId165" Type="http://schemas.openxmlformats.org/officeDocument/2006/relationships/hyperlink" Target="https://www.sec.gov/Archives/edgar/data/800166/000080016611000017/fs2010-1231.htm" TargetMode="External"/><Relationship Id="rId22" Type="http://schemas.openxmlformats.org/officeDocument/2006/relationships/hyperlink" Target="https://barrick.q4cdn.com/788666289/files/responsibility/report/Barrick-2011-Responsibility-Report.pdf" TargetMode="External"/><Relationship Id="rId27" Type="http://schemas.openxmlformats.org/officeDocument/2006/relationships/hyperlink" Target="https://www.sec.gov/Archives/edgar/data/756894/000119312514123835/d693534dex993.htm" TargetMode="External"/><Relationship Id="rId43" Type="http://schemas.openxmlformats.org/officeDocument/2006/relationships/hyperlink" Target="https://www.sec.gov/Archives/edgar/data/1164727/000155837016003258/nem-20151231x10k.htm" TargetMode="External"/><Relationship Id="rId48" Type="http://schemas.openxmlformats.org/officeDocument/2006/relationships/hyperlink" Target="https://www.sec.gov/Archives/edgar/data/701818/000104746911002981/a2202509zex-99_3.htm" TargetMode="External"/><Relationship Id="rId64" Type="http://schemas.openxmlformats.org/officeDocument/2006/relationships/hyperlink" Target="https://www.sec.gov/Archives/edgar/data/919239/000095012311031581/o68669exv99w3.htm" TargetMode="External"/><Relationship Id="rId69" Type="http://schemas.openxmlformats.org/officeDocument/2006/relationships/hyperlink" Target="https://s22.q4cdn.com/653477107/files/doc_financials/2014/0_0_goldcorp_csr_2014_full.pdf" TargetMode="External"/><Relationship Id="rId113" Type="http://schemas.openxmlformats.org/officeDocument/2006/relationships/hyperlink" Target="https://www.sec.gov/Archives/edgar/data/1067428/000119312514141938/d709051d20f.htm" TargetMode="External"/><Relationship Id="rId118" Type="http://schemas.openxmlformats.org/officeDocument/2006/relationships/hyperlink" Target="https://thevault.exchange/?get_group_doc=143/1502781885-CDPSubmissison2016.pdf" TargetMode="External"/><Relationship Id="rId134" Type="http://schemas.openxmlformats.org/officeDocument/2006/relationships/hyperlink" Target="https://www.sec.gov/Archives/edgar/data/918608/000119312518102194/d452534dex992.htm" TargetMode="External"/><Relationship Id="rId139" Type="http://schemas.openxmlformats.org/officeDocument/2006/relationships/hyperlink" Target="https://s22.q4cdn.com/899716706/files/doc_downloads/CSR/2012-Yamana-CSR-E-06-09-12.pdf" TargetMode="External"/><Relationship Id="rId80" Type="http://schemas.openxmlformats.org/officeDocument/2006/relationships/hyperlink" Target="https://www.sec.gov/Archives/edgar/data/1172724/000119312510272998/d20f.htm" TargetMode="External"/><Relationship Id="rId85" Type="http://schemas.openxmlformats.org/officeDocument/2006/relationships/hyperlink" Target="https://www.sec.gov/Archives/edgar/data/1172724/000119312512175945/d223024d20f.htm" TargetMode="External"/><Relationship Id="rId150" Type="http://schemas.openxmlformats.org/officeDocument/2006/relationships/hyperlink" Target="https://s22.q4cdn.com/899716706/files/doc_downloads/2017/yamana-mir_final-1.pdf" TargetMode="External"/><Relationship Id="rId155" Type="http://schemas.openxmlformats.org/officeDocument/2006/relationships/hyperlink" Target="https://www.sec.gov/Archives/edgar/data/1203464/000119312514138303/d697139dex992.htm" TargetMode="External"/><Relationship Id="rId171" Type="http://schemas.openxmlformats.org/officeDocument/2006/relationships/hyperlink" Target="https://www.sec.gov/Archives/edgar/data/800166/000127956915000572/v405764_ex99-2.htm" TargetMode="External"/><Relationship Id="rId176" Type="http://schemas.openxmlformats.org/officeDocument/2006/relationships/hyperlink" Target="https://www.sec.gov/Archives/edgar/data/800166/000127956918000620/tv486667_ex99-2.htm" TargetMode="External"/><Relationship Id="rId12" Type="http://schemas.openxmlformats.org/officeDocument/2006/relationships/hyperlink" Target="https://s21.q4cdn.com/374334112/files/doc_downloads/sd_reports/2015English-Full.pdf" TargetMode="External"/><Relationship Id="rId17" Type="http://schemas.openxmlformats.org/officeDocument/2006/relationships/hyperlink" Target="https://s21.q4cdn.com/374334112/files/doc_downloads/2018/11344_SD-Summary_2017_EN.pdf" TargetMode="External"/><Relationship Id="rId33" Type="http://schemas.openxmlformats.org/officeDocument/2006/relationships/hyperlink" Target="https://www.sec.gov/Archives/edgar/data/756894/000119312517095834/d334629dex993.htm" TargetMode="External"/><Relationship Id="rId38" Type="http://schemas.openxmlformats.org/officeDocument/2006/relationships/hyperlink" Target="https://www.sec.gov/Archives/edgar/data/1164727/000119312512075918/d263670d10k.htm" TargetMode="External"/><Relationship Id="rId59" Type="http://schemas.openxmlformats.org/officeDocument/2006/relationships/hyperlink" Target="http://www.annualreports.com/HostedData/AnnualReportArchive/k/TSX_K_2016.pdf" TargetMode="External"/><Relationship Id="rId103" Type="http://schemas.openxmlformats.org/officeDocument/2006/relationships/hyperlink" Target="https://www.sec.gov/Archives/edgar/data/1172724/000119312518107118/d529310d20f.htm" TargetMode="External"/><Relationship Id="rId108" Type="http://schemas.openxmlformats.org/officeDocument/2006/relationships/hyperlink" Target="https://thevault.exchange/?get_group_doc=143/1502781103-Sustainabilityreport2011.pdf" TargetMode="External"/><Relationship Id="rId124" Type="http://schemas.openxmlformats.org/officeDocument/2006/relationships/hyperlink" Target="http://www.annualreports.com/HostedData/AnnualReportArchive/e/AMEX_EGO_2011.pdf" TargetMode="External"/><Relationship Id="rId129" Type="http://schemas.openxmlformats.org/officeDocument/2006/relationships/hyperlink" Target="http://www.annualreports.com/HostedData/AnnualReportArchive/e/AMEX_EGO_2014.pdf" TargetMode="External"/><Relationship Id="rId54" Type="http://schemas.openxmlformats.org/officeDocument/2006/relationships/hyperlink" Target="https://www.sec.gov/Archives/edgar/data/701818/000110465914024565/a14-8882_1ex99d3.htm" TargetMode="External"/><Relationship Id="rId70" Type="http://schemas.openxmlformats.org/officeDocument/2006/relationships/hyperlink" Target="https://www.sec.gov/Archives/edgar/data/919239/000119312515095606/d879232dex993.htm" TargetMode="External"/><Relationship Id="rId75" Type="http://schemas.openxmlformats.org/officeDocument/2006/relationships/hyperlink" Target="https://www.sec.gov/Archives/edgar/data/919239/000119312517085380/d347500dex993.htm" TargetMode="External"/><Relationship Id="rId91" Type="http://schemas.openxmlformats.org/officeDocument/2006/relationships/hyperlink" Target="https://www.sec.gov/Archives/edgar/data/1172724/000119312514159410/d646278d20f.htm" TargetMode="External"/><Relationship Id="rId96" Type="http://schemas.openxmlformats.org/officeDocument/2006/relationships/hyperlink" Target="https://www.goldfields.com/pdf/sustainbility/sustainability-reporting/carbon-submissions/cdp-submission/cdp-submission-2015.pdf" TargetMode="External"/><Relationship Id="rId140" Type="http://schemas.openxmlformats.org/officeDocument/2006/relationships/hyperlink" Target="https://www.sec.gov/Archives/edgar/data/1264089/000110465912022894/a12-5402_3ex99d3.htm" TargetMode="External"/><Relationship Id="rId145" Type="http://schemas.openxmlformats.org/officeDocument/2006/relationships/hyperlink" Target="https://www.sec.gov/Archives/edgar/data/1264089/000126408915000005/ex9932014fs.htm" TargetMode="External"/><Relationship Id="rId161" Type="http://schemas.openxmlformats.org/officeDocument/2006/relationships/hyperlink" Target="https://www.harmony.co.za/assets/investors/reporting/annual-reports/2009/files/Harmony_AR09.pdf" TargetMode="External"/><Relationship Id="rId166" Type="http://schemas.openxmlformats.org/officeDocument/2006/relationships/hyperlink" Target="http://s1.q4cdn.com/240714812/files/documents_sustainability/10534_NewGold_SR2011_link.pdf" TargetMode="External"/><Relationship Id="rId1" Type="http://schemas.openxmlformats.org/officeDocument/2006/relationships/hyperlink" Target="https://s21.q4cdn.com/374334112/files/doc_downloads/sd_reports/2009English-Summary.pdf" TargetMode="External"/><Relationship Id="rId6" Type="http://schemas.openxmlformats.org/officeDocument/2006/relationships/hyperlink" Target="https://s21.q4cdn.com/374334112/files/doc_downloads/sd_reports/2012English-Full.pdf" TargetMode="External"/><Relationship Id="rId23" Type="http://schemas.openxmlformats.org/officeDocument/2006/relationships/hyperlink" Target="https://www.sec.gov/Archives/edgar/data/756894/000119312512137603/d320681dex993.htm" TargetMode="External"/><Relationship Id="rId28" Type="http://schemas.openxmlformats.org/officeDocument/2006/relationships/hyperlink" Target="https://barrick.q4cdn.com/788666289/files/responsibility/report/Barrick-2014-Responsibility-Report.pdf" TargetMode="External"/><Relationship Id="rId49" Type="http://schemas.openxmlformats.org/officeDocument/2006/relationships/hyperlink" Target="https://s2.q4cdn.com/496390694/files/doc_downloads/reports_and_downloads/kinross_2011_cr_report.pdf" TargetMode="External"/><Relationship Id="rId114" Type="http://schemas.openxmlformats.org/officeDocument/2006/relationships/hyperlink" Target="https://thevault.exchange/?get_group_doc=143/1502781831-CDPSubmission2014.pdf" TargetMode="External"/><Relationship Id="rId119" Type="http://schemas.openxmlformats.org/officeDocument/2006/relationships/hyperlink" Target="https://www.sec.gov/Archives/edgar/data/1067428/000119312517105480/d368386d20f.htm" TargetMode="External"/><Relationship Id="rId10" Type="http://schemas.openxmlformats.org/officeDocument/2006/relationships/hyperlink" Target="https://s21.q4cdn.com/374334112/files/doc_downloads/sd_reports/2014English-Full.pdf" TargetMode="External"/><Relationship Id="rId31" Type="http://schemas.openxmlformats.org/officeDocument/2006/relationships/hyperlink" Target="https://www.sec.gov/Archives/edgar/data/756894/000119312516518731/d139103d40f.htm" TargetMode="External"/><Relationship Id="rId44" Type="http://schemas.openxmlformats.org/officeDocument/2006/relationships/hyperlink" Target="https://www.sec.gov/Archives/edgar/data/1164727/000155837017000729/nem-20161231x10k.htm" TargetMode="External"/><Relationship Id="rId52" Type="http://schemas.openxmlformats.org/officeDocument/2006/relationships/hyperlink" Target="https://www.sec.gov/Archives/edgar/data/701818/000110465913026203/a13-7850_2ex99d3.htm" TargetMode="External"/><Relationship Id="rId60" Type="http://schemas.openxmlformats.org/officeDocument/2006/relationships/hyperlink" Target="https://www.sec.gov/Archives/edgar/data/701818/000104746918002511/a2235004zex-99_3.htm" TargetMode="External"/><Relationship Id="rId65" Type="http://schemas.openxmlformats.org/officeDocument/2006/relationships/hyperlink" Target="https://www.sec.gov/Archives/edgar/data/919239/000119312512144796/d282723dex993.htm" TargetMode="External"/><Relationship Id="rId73" Type="http://schemas.openxmlformats.org/officeDocument/2006/relationships/hyperlink" Target="https://www.sec.gov/Archives/edgar/data/919239/000119312517095502/d535171dex991.htm" TargetMode="External"/><Relationship Id="rId78" Type="http://schemas.openxmlformats.org/officeDocument/2006/relationships/hyperlink" Target="https://www.sec.gov/Archives/edgar/data/1172724/000119312509246637/d20f.htm" TargetMode="External"/><Relationship Id="rId81" Type="http://schemas.openxmlformats.org/officeDocument/2006/relationships/hyperlink" Target="https://www.goldfields.com/pdf/sustainbility/sustainability-reporting/gri-sustainability-report/gri-sustainability-report-for-the-period-ending-30-june-2010.pdf" TargetMode="External"/><Relationship Id="rId86" Type="http://schemas.openxmlformats.org/officeDocument/2006/relationships/hyperlink" Target="https://www.sec.gov/Archives/edgar/data/1172724/000119312513219018/d425611d20f.htm" TargetMode="External"/><Relationship Id="rId94" Type="http://schemas.openxmlformats.org/officeDocument/2006/relationships/hyperlink" Target="https://www.sec.gov/Archives/edgar/data/1172724/000119312515129431/d836948d20f.htm" TargetMode="External"/><Relationship Id="rId99" Type="http://schemas.openxmlformats.org/officeDocument/2006/relationships/hyperlink" Target="https://www.goldfields.com/pdf/sustainbility/sustainability-reporting/carbon-submissions/cdp-submission/cdp-submission-2016.pdf" TargetMode="External"/><Relationship Id="rId101" Type="http://schemas.openxmlformats.org/officeDocument/2006/relationships/hyperlink" Target="https://www.sec.gov/Archives/edgar/data/1172724/000119312518107118/d529310d20f.htm" TargetMode="External"/><Relationship Id="rId122" Type="http://schemas.openxmlformats.org/officeDocument/2006/relationships/hyperlink" Target="http://www.annualreports.com/HostedData/AnnualReportArchive/e/AMEX_EGO_2009.pdf" TargetMode="External"/><Relationship Id="rId130" Type="http://schemas.openxmlformats.org/officeDocument/2006/relationships/hyperlink" Target="http://www.annualreports.com/HostedData/AnnualReportArchive/e/AMEX_EGO_2015.pdf" TargetMode="External"/><Relationship Id="rId135" Type="http://schemas.openxmlformats.org/officeDocument/2006/relationships/hyperlink" Target="https://s22.q4cdn.com/899716706/files/doc_downloads/CSR/Yamana_CSR_43.pdf" TargetMode="External"/><Relationship Id="rId143" Type="http://schemas.openxmlformats.org/officeDocument/2006/relationships/hyperlink" Target="https://www.sec.gov/Archives/edgar/data/1264089/000126408914000007/ex9932013fs.htm" TargetMode="External"/><Relationship Id="rId148" Type="http://schemas.openxmlformats.org/officeDocument/2006/relationships/hyperlink" Target="https://s22.q4cdn.com/899716706/files/doc_downloads/2016-Yamana-CSR-21-06-17-final-for-posting.pdf" TargetMode="External"/><Relationship Id="rId151" Type="http://schemas.openxmlformats.org/officeDocument/2006/relationships/hyperlink" Target="https://www.sec.gov/Archives/edgar/data/1264089/000126408918000005/ex9932017fs.htm" TargetMode="External"/><Relationship Id="rId156" Type="http://schemas.openxmlformats.org/officeDocument/2006/relationships/hyperlink" Target="https://www.sec.gov/Archives/edgar/data/1203464/000119312514110217/d697067dex993.htm" TargetMode="External"/><Relationship Id="rId164" Type="http://schemas.openxmlformats.org/officeDocument/2006/relationships/hyperlink" Target="http://s1.q4cdn.com/240714812/files/documents_sustainability/New_Gold_SR_2010_lr_Nov16.pdf" TargetMode="External"/><Relationship Id="rId169" Type="http://schemas.openxmlformats.org/officeDocument/2006/relationships/hyperlink" Target="https://www.sec.gov/Archives/edgar/data/800166/000080016614000029/fs20131231.htm" TargetMode="External"/><Relationship Id="rId4" Type="http://schemas.openxmlformats.org/officeDocument/2006/relationships/hyperlink" Target="https://www.sec.gov/Archives/edgar/data/2809/000104746911002754/a2202678z20-f.htm" TargetMode="External"/><Relationship Id="rId9" Type="http://schemas.openxmlformats.org/officeDocument/2006/relationships/hyperlink" Target="https://www.sec.gov/Archives/edgar/data/2809/000104746914003006/a2219161zex-99_2.htm" TargetMode="External"/><Relationship Id="rId172" Type="http://schemas.openxmlformats.org/officeDocument/2006/relationships/hyperlink" Target="http://2015sustainabilityreport.newgold.com/energymanagement.php" TargetMode="External"/><Relationship Id="rId13" Type="http://schemas.openxmlformats.org/officeDocument/2006/relationships/hyperlink" Target="https://www.sec.gov/Archives/edgar/data/2809/000104746916011508/a2227223zex-99_2.htm" TargetMode="External"/><Relationship Id="rId18" Type="http://schemas.openxmlformats.org/officeDocument/2006/relationships/hyperlink" Target="http://q4live.s22.clientfiles.s3-website-us-east-1.amazonaws.com/788666289/files/responsibility/report/Barrick-2009-Responsibility-Report.pdf" TargetMode="External"/><Relationship Id="rId39" Type="http://schemas.openxmlformats.org/officeDocument/2006/relationships/hyperlink" Target="https://www.sec.gov/Archives/edgar/data/1164727/000119312513070256/d462654d10k.htm" TargetMode="External"/><Relationship Id="rId109" Type="http://schemas.openxmlformats.org/officeDocument/2006/relationships/hyperlink" Target="https://www.sec.gov/Archives/edgar/data/1067428/000119312512174757/d330356d20f.htm" TargetMode="External"/><Relationship Id="rId34" Type="http://schemas.openxmlformats.org/officeDocument/2006/relationships/hyperlink" Target="https://barrick.q4cdn.com/788666289/files/sustainability/2017-Sustainability-Report-Summary.pdf" TargetMode="External"/><Relationship Id="rId50" Type="http://schemas.openxmlformats.org/officeDocument/2006/relationships/hyperlink" Target="https://www.sec.gov/Archives/edgar/data/701818/000104746912003703/a2208497zex-99_3.htm" TargetMode="External"/><Relationship Id="rId55" Type="http://schemas.openxmlformats.org/officeDocument/2006/relationships/hyperlink" Target="http://www.annualreports.com/HostedData/AnnualReportArchive/K/TSX_K_2014.pdf" TargetMode="External"/><Relationship Id="rId76" Type="http://schemas.openxmlformats.org/officeDocument/2006/relationships/hyperlink" Target="https://s22.q4cdn.com/653477107/files/2017-Sustainability-Report.pdf" TargetMode="External"/><Relationship Id="rId97" Type="http://schemas.openxmlformats.org/officeDocument/2006/relationships/hyperlink" Target="https://www.sec.gov/Archives/edgar/data/1172724/000119312516539436/d10119d20f.htm" TargetMode="External"/><Relationship Id="rId104" Type="http://schemas.openxmlformats.org/officeDocument/2006/relationships/hyperlink" Target="https://thevault.exchange/?get_group_doc=143/1502780605-Sustainabilityreport2009.pdf" TargetMode="External"/><Relationship Id="rId120" Type="http://schemas.openxmlformats.org/officeDocument/2006/relationships/hyperlink" Target="https://thevault.exchange/?get_group_doc=143/1502781983-CDPSubmission2017.pdf" TargetMode="External"/><Relationship Id="rId125" Type="http://schemas.openxmlformats.org/officeDocument/2006/relationships/hyperlink" Target="http://www.annualreports.com/HostedData/AnnualReportArchive/e/AMEX_EGO_2012.pdf" TargetMode="External"/><Relationship Id="rId141" Type="http://schemas.openxmlformats.org/officeDocument/2006/relationships/hyperlink" Target="https://s22.q4cdn.com/899716706/files/doc_downloads/CSR/2012-Yamana-CSR-EN-28-08-13.pdf" TargetMode="External"/><Relationship Id="rId146" Type="http://schemas.openxmlformats.org/officeDocument/2006/relationships/hyperlink" Target="https://s22.q4cdn.com/899716706/files/doc_downloads/CSR/2015/2015-Yamana-Material-Issues-Report.pdf" TargetMode="External"/><Relationship Id="rId167" Type="http://schemas.openxmlformats.org/officeDocument/2006/relationships/hyperlink" Target="https://www.sec.gov/Archives/edgar/data/800166/000080016612000034/confin_2011-1231.htm" TargetMode="External"/><Relationship Id="rId7" Type="http://schemas.openxmlformats.org/officeDocument/2006/relationships/hyperlink" Target="https://www.sec.gov/Archives/edgar/data/2809/000104746913003581/a2211934z20-f.htm" TargetMode="External"/><Relationship Id="rId71" Type="http://schemas.openxmlformats.org/officeDocument/2006/relationships/hyperlink" Target="https://s22.q4cdn.com/653477107/files/doc_financials/2015/0_0_goldcorp_csr_2015_full.pdf" TargetMode="External"/><Relationship Id="rId92" Type="http://schemas.openxmlformats.org/officeDocument/2006/relationships/hyperlink" Target="https://www.sec.gov/Archives/edgar/data/1172724/000119312515129431/d836948d20f.htm" TargetMode="External"/><Relationship Id="rId162" Type="http://schemas.openxmlformats.org/officeDocument/2006/relationships/hyperlink" Target="http://s1.q4cdn.com/240714812/files/documents_sustainability/NG_SuS09.pdf" TargetMode="External"/><Relationship Id="rId2" Type="http://schemas.openxmlformats.org/officeDocument/2006/relationships/hyperlink" Target="https://www.sec.gov/Archives/edgar/data/2809/000104746910002778/a2197435z20-f.htm" TargetMode="External"/><Relationship Id="rId29" Type="http://schemas.openxmlformats.org/officeDocument/2006/relationships/hyperlink" Target="https://www.sec.gov/Archives/edgar/data/756894/000119312515109743/d896700dex993.htm" TargetMode="External"/><Relationship Id="rId24" Type="http://schemas.openxmlformats.org/officeDocument/2006/relationships/hyperlink" Target="https://barrick.q4cdn.com/788666289/files/responsibility/report/Barrick-2012-Corporate-Responsibility-Report.pdf" TargetMode="External"/><Relationship Id="rId40" Type="http://schemas.openxmlformats.org/officeDocument/2006/relationships/hyperlink" Target="https://sustainabilityreport.newmont.com/2013/_docs/BTM-2013-full.pdf" TargetMode="External"/><Relationship Id="rId45" Type="http://schemas.openxmlformats.org/officeDocument/2006/relationships/hyperlink" Target="https://www.sec.gov/Archives/edgar/data/1164727/000155837018000894/nem-20171231x10k.htm" TargetMode="External"/><Relationship Id="rId66" Type="http://schemas.openxmlformats.org/officeDocument/2006/relationships/hyperlink" Target="http://csr.goldcorp.com/2012/_docs/2012_Sustainability_Report_feb_17_2014.pdf" TargetMode="External"/><Relationship Id="rId87" Type="http://schemas.openxmlformats.org/officeDocument/2006/relationships/hyperlink" Target="https://www.goldfields.com/pdf/sustainbility/sustainability-reporting/carbon-submissions/cdp-submission/cdp-submission-2012.pdf" TargetMode="External"/><Relationship Id="rId110" Type="http://schemas.openxmlformats.org/officeDocument/2006/relationships/hyperlink" Target="https://thevault.exchange/?get_group_doc=143/1502781132-Sustainabilityreport2012.pdf" TargetMode="External"/><Relationship Id="rId115" Type="http://schemas.openxmlformats.org/officeDocument/2006/relationships/hyperlink" Target="https://www.sec.gov/Archives/edgar/data/1067428/000119312515116866/d899935d20f.htm" TargetMode="External"/><Relationship Id="rId131" Type="http://schemas.openxmlformats.org/officeDocument/2006/relationships/hyperlink" Target="http://www.annualreports.com/HostedData/AnnualReports/PDF/AMEX_EGO_2016.pdf" TargetMode="External"/><Relationship Id="rId136" Type="http://schemas.openxmlformats.org/officeDocument/2006/relationships/hyperlink" Target="https://www.sec.gov/Archives/edgar/data/1264089/000110465910017817/a10-5037_2ex99d3.htm" TargetMode="External"/><Relationship Id="rId157" Type="http://schemas.openxmlformats.org/officeDocument/2006/relationships/hyperlink" Target="https://www.sec.gov/Archives/edgar/data/1203464/000119312515105051/d892024dex993.htm" TargetMode="External"/><Relationship Id="rId61" Type="http://schemas.openxmlformats.org/officeDocument/2006/relationships/hyperlink" Target="http://www.annualreports.com/HostedData/AnnualReportArchive/k/TSX_K_2017.pdf" TargetMode="External"/><Relationship Id="rId82" Type="http://schemas.openxmlformats.org/officeDocument/2006/relationships/hyperlink" Target="https://www.sec.gov/Archives/edgar/data/1172724/000119312510272998/d20f.htm" TargetMode="External"/><Relationship Id="rId152" Type="http://schemas.openxmlformats.org/officeDocument/2006/relationships/hyperlink" Target="http://www.annualreports.com/HostedData/AnnualReportArchive/i/NYSE_IAG_2009.pdf" TargetMode="External"/><Relationship Id="rId173" Type="http://schemas.openxmlformats.org/officeDocument/2006/relationships/hyperlink" Target="https://www.sec.gov/Archives/edgar/data/800166/000127956916003038/v435507_ex99-2.htm" TargetMode="External"/><Relationship Id="rId19" Type="http://schemas.openxmlformats.org/officeDocument/2006/relationships/hyperlink" Target="https://www.sec.gov/Archives/edgar/data/756894/000110465910017012/a10-4461_1ex99d3.htm" TargetMode="External"/><Relationship Id="rId14" Type="http://schemas.openxmlformats.org/officeDocument/2006/relationships/hyperlink" Target="https://www.sec.gov/Archives/edgar/data/2809/000104746917002009/a2231316zex-99_2.htm" TargetMode="External"/><Relationship Id="rId30" Type="http://schemas.openxmlformats.org/officeDocument/2006/relationships/hyperlink" Target="https://barrick.q4cdn.com/788666289/files/responsibility/report/Barrick-2015-Responsibility-Report.pdf" TargetMode="External"/><Relationship Id="rId35" Type="http://schemas.openxmlformats.org/officeDocument/2006/relationships/hyperlink" Target="https://www.sec.gov/Archives/edgar/data/756894/000119312518094424/d441945dex993.htm" TargetMode="External"/><Relationship Id="rId56" Type="http://schemas.openxmlformats.org/officeDocument/2006/relationships/hyperlink" Target="https://www.sec.gov/Archives/edgar/data/701818/000157104916013716/t1600192_ex99-3.htm" TargetMode="External"/><Relationship Id="rId77" Type="http://schemas.openxmlformats.org/officeDocument/2006/relationships/hyperlink" Target="https://www.sec.gov/Archives/edgar/data/919239/000119312518094314/d476302dex993.htm" TargetMode="External"/><Relationship Id="rId100" Type="http://schemas.openxmlformats.org/officeDocument/2006/relationships/hyperlink" Target="https://www.sec.gov/Archives/edgar/data/1172724/000119312517111492/d304882d20f.htm" TargetMode="External"/><Relationship Id="rId105" Type="http://schemas.openxmlformats.org/officeDocument/2006/relationships/hyperlink" Target="https://www.sec.gov/Archives/edgar/data/1067428/000120561310000058/aga_combined.htm" TargetMode="External"/><Relationship Id="rId126" Type="http://schemas.openxmlformats.org/officeDocument/2006/relationships/hyperlink" Target="https://s2.q4cdn.com/536453762/files/doc_downloads/2013-ELD-Sustainability-Report.PDF" TargetMode="External"/><Relationship Id="rId147" Type="http://schemas.openxmlformats.org/officeDocument/2006/relationships/hyperlink" Target="https://www.sec.gov/Archives/edgar/data/1264089/000126408916000019/ex9932015fs.htm" TargetMode="External"/><Relationship Id="rId168" Type="http://schemas.openxmlformats.org/officeDocument/2006/relationships/hyperlink" Target="https://www.sec.gov/Archives/edgar/data/800166/000080016613000020/financialstatement.htm" TargetMode="External"/><Relationship Id="rId8" Type="http://schemas.openxmlformats.org/officeDocument/2006/relationships/hyperlink" Target="https://s21.q4cdn.com/374334112/files/doc_downloads/sd_reports/2013-AEM_CSR_2013.pdf" TargetMode="External"/><Relationship Id="rId51" Type="http://schemas.openxmlformats.org/officeDocument/2006/relationships/hyperlink" Target="https://s2.q4cdn.com/496390694/files/doc_downloads/reports_and_downloads/2012-kinross-cr-data-supplement.pdf" TargetMode="External"/><Relationship Id="rId72" Type="http://schemas.openxmlformats.org/officeDocument/2006/relationships/hyperlink" Target="https://www.sec.gov/Archives/edgar/data/919239/000119312516521641/d135734dex993.htm" TargetMode="External"/><Relationship Id="rId93" Type="http://schemas.openxmlformats.org/officeDocument/2006/relationships/hyperlink" Target="https://www.goldfields.com/pdf/sustainbility/sustainability-reporting/carbon-submissions/cdp-submission/cdp-submission-2014.pdf" TargetMode="External"/><Relationship Id="rId98" Type="http://schemas.openxmlformats.org/officeDocument/2006/relationships/hyperlink" Target="https://www.sec.gov/Archives/edgar/data/1172724/000119312517111492/d304882d20f.htm" TargetMode="External"/><Relationship Id="rId121" Type="http://schemas.openxmlformats.org/officeDocument/2006/relationships/hyperlink" Target="https://www.sec.gov/Archives/edgar/data/1067428/000162828018003806/au-311217x20f.htm" TargetMode="External"/><Relationship Id="rId142" Type="http://schemas.openxmlformats.org/officeDocument/2006/relationships/hyperlink" Target="https://s22.q4cdn.com/899716706/files/doc_downloads/2013-Yamana-CSR-EN-27-08-14.pdf" TargetMode="External"/><Relationship Id="rId163" Type="http://schemas.openxmlformats.org/officeDocument/2006/relationships/hyperlink" Target="https://www.sec.gov/Archives/edgar/data/800166/000120445910000637/exhibit99-2.htm" TargetMode="External"/><Relationship Id="rId3" Type="http://schemas.openxmlformats.org/officeDocument/2006/relationships/hyperlink" Target="https://s21.q4cdn.com/374334112/files/doc_downloads/sd_reports/2010English-Full.pdf" TargetMode="External"/><Relationship Id="rId25" Type="http://schemas.openxmlformats.org/officeDocument/2006/relationships/hyperlink" Target="https://www.sec.gov/Archives/edgar/data/756894/000119312513131918/d502385dex993.htm" TargetMode="External"/><Relationship Id="rId46" Type="http://schemas.openxmlformats.org/officeDocument/2006/relationships/hyperlink" Target="http://www.annualreports.com/HostedData/AnnualReportArchive/K/TSX_K_2009.pdf" TargetMode="External"/><Relationship Id="rId67" Type="http://schemas.openxmlformats.org/officeDocument/2006/relationships/hyperlink" Target="http://csr.goldcorp.com/2013/_docs/Goldcorp_2013_Sustainability_GRI.pdf" TargetMode="External"/><Relationship Id="rId116" Type="http://schemas.openxmlformats.org/officeDocument/2006/relationships/hyperlink" Target="https://thevault.exchange/?get_group_doc=143/1502781859-CDPSubmission2015.pdf" TargetMode="External"/><Relationship Id="rId137" Type="http://schemas.openxmlformats.org/officeDocument/2006/relationships/hyperlink" Target="https://www.sec.gov/Archives/edgar/data/1264089/000110465911018151/a11-6607_3ex99d2.htm" TargetMode="External"/><Relationship Id="rId158" Type="http://schemas.openxmlformats.org/officeDocument/2006/relationships/hyperlink" Target="https://www.sec.gov/Archives/edgar/data/1203464/000119312516467295/d144556dex993.htm" TargetMode="External"/><Relationship Id="rId20" Type="http://schemas.openxmlformats.org/officeDocument/2006/relationships/hyperlink" Target="https://barrick.q4cdn.com/788666289/files/responsibility/report/Barrick-2010-Responsibility-Report.pdf" TargetMode="External"/><Relationship Id="rId41" Type="http://schemas.openxmlformats.org/officeDocument/2006/relationships/hyperlink" Target="https://www.sec.gov/Archives/edgar/data/1164727/000119312514061205/d653301d10k.htm" TargetMode="External"/><Relationship Id="rId62" Type="http://schemas.openxmlformats.org/officeDocument/2006/relationships/hyperlink" Target="https://www.sec.gov/Archives/edgar/data/919239/000095012310026345/x60364exv99w3.htm" TargetMode="External"/><Relationship Id="rId83" Type="http://schemas.openxmlformats.org/officeDocument/2006/relationships/hyperlink" Target="https://www.sec.gov/Archives/edgar/data/1172724/000119312512175945/d223024d20f.htm" TargetMode="External"/><Relationship Id="rId88" Type="http://schemas.openxmlformats.org/officeDocument/2006/relationships/hyperlink" Target="https://www.sec.gov/Archives/edgar/data/1172724/000119312513219018/d425611d20f.htm" TargetMode="External"/><Relationship Id="rId111" Type="http://schemas.openxmlformats.org/officeDocument/2006/relationships/hyperlink" Target="https://www.sec.gov/Archives/edgar/data/1067428/000119312513175850/d508552d20f.htm" TargetMode="External"/><Relationship Id="rId132" Type="http://schemas.openxmlformats.org/officeDocument/2006/relationships/hyperlink" Target="https://www.sec.gov/Archives/edgar/data/918608/000113717117000034/fins.htm" TargetMode="External"/><Relationship Id="rId153" Type="http://schemas.openxmlformats.org/officeDocument/2006/relationships/hyperlink" Target="http://www.annualreports.com/HostedData/AnnualReportArchive/i/NYSE_IAG_2010.pdf" TargetMode="External"/><Relationship Id="rId174" Type="http://schemas.openxmlformats.org/officeDocument/2006/relationships/hyperlink" Target="https://www.sec.gov/Archives/edgar/data/800166/000127956917000641/v462860_ex99-2.htm" TargetMode="External"/><Relationship Id="rId15" Type="http://schemas.openxmlformats.org/officeDocument/2006/relationships/hyperlink" Target="https://www.sec.gov/Archives/edgar/data/2809/000104746917002009/a2231316zex-99_2.htm" TargetMode="External"/><Relationship Id="rId36" Type="http://schemas.openxmlformats.org/officeDocument/2006/relationships/hyperlink" Target="https://www.sec.gov/Archives/edgar/data/1164727/000095012310016613/d70495e10vk.htm" TargetMode="External"/><Relationship Id="rId57" Type="http://schemas.openxmlformats.org/officeDocument/2006/relationships/hyperlink" Target="http://www.annualreports.com/HostedData/AnnualReportArchive/K/TSX_K_2015.pdf" TargetMode="External"/><Relationship Id="rId106" Type="http://schemas.openxmlformats.org/officeDocument/2006/relationships/hyperlink" Target="https://thevault.exchange/?get_group_doc=143/1502780698-Sustainabilityreport2010.pdf" TargetMode="External"/><Relationship Id="rId127" Type="http://schemas.openxmlformats.org/officeDocument/2006/relationships/hyperlink" Target="https://www.sec.gov/Archives/edgar/data/918608/000113717114000057/fins.ht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energy.gov/eere/vehicles/fact-915-march-7-2016-average-historical-annual-gasoline-pump-price-1929-2015" TargetMode="External"/><Relationship Id="rId1" Type="http://schemas.openxmlformats.org/officeDocument/2006/relationships/hyperlink" Target="https://www.eia.gov/dnav/pet/hist/LeafHandler.ashx?n=PET&amp;s=EMD_EPD2D_PTE_NUS_DPG&amp;f=A"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mcxindia.com/education-training/knowledge-series/methodogies/aav" TargetMode="External"/><Relationship Id="rId1" Type="http://schemas.openxmlformats.org/officeDocument/2006/relationships/hyperlink" Target="https://www.treasury.gov/resource-center/data-chart-center/interest-rates/Pages/TextView.aspx?data=yieldYear&amp;year=2001"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acrotrends.net/2479/heating-oil-prices-historical-chart-data"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s21.q4cdn.com/374334112/files/doc_downloads/sd_reports/2010English-Full.pdf" TargetMode="External"/><Relationship Id="rId2" Type="http://schemas.openxmlformats.org/officeDocument/2006/relationships/hyperlink" Target="https://s21.q4cdn.com/374334112/files/doc_downloads/sd_reports/11239_AEM_2016-SDR_Typeset-Complete_v5b.pdf" TargetMode="External"/><Relationship Id="rId1" Type="http://schemas.openxmlformats.org/officeDocument/2006/relationships/hyperlink" Target="https://www.sec.gov/Archives/edgar/data/2809/000104746918002083/a2234701zex-99_2.ht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sec.gov/Archives/edgar/data/756894/000119312512137603/d320681dex991.htm" TargetMode="External"/><Relationship Id="rId13" Type="http://schemas.openxmlformats.org/officeDocument/2006/relationships/hyperlink" Target="https://barrick.q4cdn.com/788666289/files/responsibility/report/Barrick-2009-Responsibility-Report.pdf" TargetMode="External"/><Relationship Id="rId3" Type="http://schemas.openxmlformats.org/officeDocument/2006/relationships/hyperlink" Target="https://www.sec.gov/Archives/edgar/data/756894/000119312518094424/d441945dex993.htm" TargetMode="External"/><Relationship Id="rId7" Type="http://schemas.openxmlformats.org/officeDocument/2006/relationships/hyperlink" Target="https://barrick.q4cdn.com/788666289/files/responsibility/report/Barrick-2011-Responsibility-Report.pdf" TargetMode="External"/><Relationship Id="rId12" Type="http://schemas.openxmlformats.org/officeDocument/2006/relationships/hyperlink" Target="https://www.sec.gov/Archives/edgar/data/756894/000110465910017012/a10-4461_1ex99d3.htm" TargetMode="External"/><Relationship Id="rId2" Type="http://schemas.openxmlformats.org/officeDocument/2006/relationships/hyperlink" Target="https://www.sec.gov/Archives/edgar/data/756894/000119312518094424/d441945dex994.htm" TargetMode="External"/><Relationship Id="rId1" Type="http://schemas.openxmlformats.org/officeDocument/2006/relationships/hyperlink" Target="https://www.barrick.com/English/investors/presentations-reports/default.aspx" TargetMode="External"/><Relationship Id="rId6" Type="http://schemas.openxmlformats.org/officeDocument/2006/relationships/hyperlink" Target="https://www.sec.gov/Archives/edgar/data/756894/000119312515109743/d896700dex993.htm" TargetMode="External"/><Relationship Id="rId11" Type="http://schemas.openxmlformats.org/officeDocument/2006/relationships/hyperlink" Target="https://www.sec.gov/Archives/edgar/data/756894/000110465911017950/a10-24327_1ex99d4.htm" TargetMode="External"/><Relationship Id="rId5" Type="http://schemas.openxmlformats.org/officeDocument/2006/relationships/hyperlink" Target="https://www.sec.gov/Archives/edgar/data/756894/000119312516518731/d139103dex994.htm" TargetMode="External"/><Relationship Id="rId10" Type="http://schemas.openxmlformats.org/officeDocument/2006/relationships/hyperlink" Target="https://barrick.q4cdn.com/788666289/files/responsibility/report/Barrick-2010-Responsibility-Report.pdf" TargetMode="External"/><Relationship Id="rId4" Type="http://schemas.openxmlformats.org/officeDocument/2006/relationships/hyperlink" Target="https://www.convertunits.com/from/gigajoule/to/gallon+%5BU.S.%5D+of+distillate+no.+2+fuel+oil" TargetMode="External"/><Relationship Id="rId9" Type="http://schemas.openxmlformats.org/officeDocument/2006/relationships/hyperlink" Target="https://www.sec.gov/Archives/edgar/data/756894/000110465911017950/a10-24327_1ex99d1.htm" TargetMode="External"/><Relationship Id="rId14" Type="http://schemas.openxmlformats.org/officeDocument/2006/relationships/hyperlink" Target="https://www.sec.gov/Archives/edgar/data/756894/000110465910017012/a10-4461_1ex99d4.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762"/>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defaultColWidth="14.453125" defaultRowHeight="15.75" customHeight="1"/>
  <cols>
    <col min="2" max="2" width="22.7265625" customWidth="1"/>
    <col min="3" max="3" width="12.453125" customWidth="1"/>
    <col min="22" max="23" width="16.54296875" customWidth="1"/>
  </cols>
  <sheetData>
    <row r="1" spans="1:41" ht="72" customHeight="1">
      <c r="A1" s="2" t="s">
        <v>1</v>
      </c>
      <c r="B1" s="2" t="s">
        <v>2</v>
      </c>
      <c r="C1" s="2" t="s">
        <v>3</v>
      </c>
      <c r="D1" s="2" t="s">
        <v>4</v>
      </c>
      <c r="E1" s="2" t="s">
        <v>6</v>
      </c>
      <c r="F1" s="2" t="s">
        <v>7</v>
      </c>
      <c r="G1" s="2" t="s">
        <v>8</v>
      </c>
      <c r="H1" s="2" t="s">
        <v>9</v>
      </c>
      <c r="I1" s="2" t="s">
        <v>10</v>
      </c>
      <c r="J1" s="2" t="s">
        <v>11</v>
      </c>
      <c r="K1" s="1" t="s">
        <v>12</v>
      </c>
      <c r="L1" s="1" t="s">
        <v>14</v>
      </c>
      <c r="M1" s="2" t="s">
        <v>15</v>
      </c>
      <c r="N1" s="2" t="s">
        <v>17</v>
      </c>
      <c r="O1" s="2" t="s">
        <v>19</v>
      </c>
      <c r="P1" s="2" t="s">
        <v>20</v>
      </c>
      <c r="Q1" s="2" t="s">
        <v>21</v>
      </c>
      <c r="R1" s="2" t="s">
        <v>22</v>
      </c>
      <c r="S1" s="2" t="s">
        <v>23</v>
      </c>
      <c r="T1" s="2" t="s">
        <v>24</v>
      </c>
      <c r="U1" s="2" t="s">
        <v>25</v>
      </c>
      <c r="V1" s="2" t="s">
        <v>26</v>
      </c>
      <c r="W1" s="16" t="s">
        <v>27</v>
      </c>
      <c r="X1" s="16" t="s">
        <v>47</v>
      </c>
      <c r="Y1" s="16" t="s">
        <v>48</v>
      </c>
      <c r="Z1" s="16" t="s">
        <v>49</v>
      </c>
      <c r="AA1" s="16" t="s">
        <v>50</v>
      </c>
      <c r="AB1" s="18" t="s">
        <v>51</v>
      </c>
      <c r="AC1" s="18" t="s">
        <v>54</v>
      </c>
      <c r="AD1" s="18" t="s">
        <v>55</v>
      </c>
      <c r="AE1" s="18" t="s">
        <v>56</v>
      </c>
      <c r="AF1" s="18" t="s">
        <v>57</v>
      </c>
      <c r="AG1" s="18" t="s">
        <v>58</v>
      </c>
      <c r="AH1" s="16" t="s">
        <v>59</v>
      </c>
      <c r="AI1" s="16" t="s">
        <v>60</v>
      </c>
      <c r="AJ1" s="16" t="s">
        <v>61</v>
      </c>
      <c r="AK1" s="16" t="s">
        <v>62</v>
      </c>
      <c r="AL1" s="16" t="s">
        <v>63</v>
      </c>
      <c r="AM1" s="16" t="s">
        <v>64</v>
      </c>
      <c r="AN1" s="16" t="s">
        <v>65</v>
      </c>
      <c r="AO1" s="16" t="s">
        <v>66</v>
      </c>
    </row>
    <row r="2" spans="1:41" ht="14.5">
      <c r="A2" s="22"/>
      <c r="B2" s="24"/>
      <c r="C2" s="24"/>
      <c r="D2" s="24"/>
      <c r="E2" s="27"/>
      <c r="F2" s="27"/>
      <c r="G2" s="27"/>
      <c r="H2" s="27"/>
      <c r="I2" s="27"/>
      <c r="J2" s="27"/>
      <c r="K2" s="27"/>
      <c r="L2" s="27"/>
      <c r="M2" s="27"/>
      <c r="N2" s="27"/>
      <c r="O2" s="27"/>
      <c r="P2" s="27"/>
      <c r="Q2" s="27"/>
      <c r="R2" s="27"/>
      <c r="S2" s="22"/>
      <c r="T2" s="30"/>
      <c r="U2" s="22"/>
      <c r="V2" s="32"/>
      <c r="W2" s="32"/>
      <c r="X2" s="32"/>
      <c r="Y2" s="32"/>
      <c r="Z2" s="34"/>
      <c r="AA2" s="34"/>
      <c r="AB2" s="39">
        <f t="shared" ref="AB2:AM2" si="0">AVERAGE(AB3:AB101)</f>
        <v>0.94643534858268985</v>
      </c>
      <c r="AC2" s="39">
        <f t="shared" si="0"/>
        <v>0.34734161951892284</v>
      </c>
      <c r="AD2" s="39">
        <f t="shared" si="0"/>
        <v>0.16574490283001783</v>
      </c>
      <c r="AE2" s="39">
        <f t="shared" si="0"/>
        <v>0.30201319631982704</v>
      </c>
      <c r="AF2" s="42">
        <f t="shared" si="0"/>
        <v>4.1359493672211936E-2</v>
      </c>
      <c r="AG2" s="42">
        <f t="shared" si="0"/>
        <v>0.26934079300974906</v>
      </c>
      <c r="AH2" s="39">
        <f t="shared" si="0"/>
        <v>0.31943509269263104</v>
      </c>
      <c r="AI2" s="39">
        <f t="shared" si="0"/>
        <v>2.5964760797303615E-3</v>
      </c>
      <c r="AJ2" s="39">
        <f t="shared" si="0"/>
        <v>4.6328756359784954E-3</v>
      </c>
      <c r="AK2" s="39">
        <f t="shared" si="0"/>
        <v>620.12121212121212</v>
      </c>
      <c r="AL2" s="39">
        <f t="shared" si="0"/>
        <v>0.13211885462800088</v>
      </c>
      <c r="AM2" s="39">
        <f t="shared" si="0"/>
        <v>-1.7304710288801671E-2</v>
      </c>
      <c r="AN2" s="39"/>
      <c r="AO2" s="39"/>
    </row>
    <row r="3" spans="1:41" ht="14.5">
      <c r="A3" s="47">
        <v>2009</v>
      </c>
      <c r="B3" s="49" t="s">
        <v>103</v>
      </c>
      <c r="C3" s="49" t="s">
        <v>104</v>
      </c>
      <c r="D3" s="49" t="s">
        <v>105</v>
      </c>
      <c r="E3" s="47">
        <v>604</v>
      </c>
      <c r="F3" s="47">
        <v>4247</v>
      </c>
      <c r="G3" s="47">
        <v>657</v>
      </c>
      <c r="H3" s="47">
        <v>157</v>
      </c>
      <c r="I3" s="47">
        <v>737</v>
      </c>
      <c r="J3" s="47">
        <v>-588</v>
      </c>
      <c r="K3" s="47">
        <v>276</v>
      </c>
      <c r="L3" s="47">
        <v>137</v>
      </c>
      <c r="M3" s="47">
        <v>190</v>
      </c>
      <c r="N3" s="47">
        <v>1496</v>
      </c>
      <c r="O3" s="51">
        <v>115</v>
      </c>
      <c r="P3" s="51">
        <v>0</v>
      </c>
      <c r="Q3" s="51">
        <v>0</v>
      </c>
      <c r="R3" s="51">
        <v>614</v>
      </c>
      <c r="S3" s="47">
        <v>54</v>
      </c>
      <c r="T3" s="51">
        <v>54</v>
      </c>
      <c r="U3" s="47">
        <v>1040</v>
      </c>
      <c r="V3" s="53">
        <v>87</v>
      </c>
      <c r="W3" s="53">
        <f t="shared" ref="W3:W101" si="1">Y3+Q3+M3+I3</f>
        <v>9405</v>
      </c>
      <c r="X3" s="55">
        <f t="shared" ref="X3:X101" si="2">P3/W3</f>
        <v>0</v>
      </c>
      <c r="Y3" s="55">
        <f t="shared" ref="Y3:Y101" si="3">S3*H3</f>
        <v>8478</v>
      </c>
      <c r="Z3" s="58">
        <f t="shared" ref="Z3:Z101" si="4">(K3+L3)/M3</f>
        <v>2.1736842105263157</v>
      </c>
      <c r="AA3" s="60">
        <f t="shared" ref="AA3:AA101" si="5">M3-E3+I3</f>
        <v>323</v>
      </c>
      <c r="AB3" s="58">
        <f t="shared" ref="AB3:AB101" si="6">(AA3+Y3+Q3)/F3</f>
        <v>2.0722863197551211</v>
      </c>
      <c r="AC3" s="58">
        <f t="shared" ref="AC3:AC101" si="7">G3/R3</f>
        <v>1.0700325732899023</v>
      </c>
      <c r="AD3" s="58">
        <f t="shared" ref="AD3:AD101" si="8">I3/F3</f>
        <v>0.17353425947727807</v>
      </c>
      <c r="AE3" s="58">
        <f t="shared" ref="AE3:AE101" si="9">O3/R3</f>
        <v>0.18729641693811075</v>
      </c>
      <c r="AF3" s="63">
        <v>0</v>
      </c>
      <c r="AG3" s="63">
        <v>0</v>
      </c>
      <c r="AH3" s="66">
        <f t="shared" ref="AH3:AH101" si="10">I3/Y3</f>
        <v>8.6930879924510499E-2</v>
      </c>
      <c r="AI3" s="68">
        <v>1.0354012738853504E-3</v>
      </c>
      <c r="AJ3" s="68">
        <v>1.0130719872611466E-2</v>
      </c>
      <c r="AK3" s="70">
        <v>347</v>
      </c>
      <c r="AL3" s="72">
        <v>0.22628803998944216</v>
      </c>
      <c r="AM3" s="75">
        <f t="shared" ref="AM3:AM101" si="11">V3/F3</f>
        <v>2.0485048269366611E-2</v>
      </c>
      <c r="AN3" s="75">
        <f t="shared" ref="AN3:AN101" si="12">LN(F3)</f>
        <v>8.3539681303132713</v>
      </c>
      <c r="AO3" s="75">
        <f t="shared" ref="AO3:AO101" si="13">LN(AB3)</f>
        <v>0.7286525000605405</v>
      </c>
    </row>
    <row r="4" spans="1:41" ht="14.5">
      <c r="A4" s="47">
        <v>2010</v>
      </c>
      <c r="B4" s="49" t="s">
        <v>103</v>
      </c>
      <c r="C4" s="49" t="s">
        <v>104</v>
      </c>
      <c r="D4" s="77" t="s">
        <v>105</v>
      </c>
      <c r="E4" s="47">
        <v>674</v>
      </c>
      <c r="F4" s="47">
        <v>5500</v>
      </c>
      <c r="G4" s="47">
        <v>512</v>
      </c>
      <c r="H4" s="47">
        <v>169</v>
      </c>
      <c r="I4" s="47">
        <v>688</v>
      </c>
      <c r="J4" s="47">
        <v>-523</v>
      </c>
      <c r="K4" s="47">
        <v>204</v>
      </c>
      <c r="L4" s="47">
        <v>182</v>
      </c>
      <c r="M4" s="47">
        <v>303</v>
      </c>
      <c r="N4" s="47">
        <v>1835</v>
      </c>
      <c r="O4" s="47">
        <v>483</v>
      </c>
      <c r="P4" s="51">
        <v>0</v>
      </c>
      <c r="Q4" s="51">
        <v>0</v>
      </c>
      <c r="R4" s="51">
        <v>1423</v>
      </c>
      <c r="S4" s="47">
        <v>77</v>
      </c>
      <c r="T4" s="51">
        <v>77</v>
      </c>
      <c r="U4" s="47">
        <v>1040</v>
      </c>
      <c r="V4" s="53">
        <v>332</v>
      </c>
      <c r="W4" s="53">
        <f t="shared" si="1"/>
        <v>14004</v>
      </c>
      <c r="X4" s="55">
        <f t="shared" si="2"/>
        <v>0</v>
      </c>
      <c r="Y4" s="55">
        <f t="shared" si="3"/>
        <v>13013</v>
      </c>
      <c r="Z4" s="58">
        <f t="shared" si="4"/>
        <v>1.273927392739274</v>
      </c>
      <c r="AA4" s="60">
        <f t="shared" si="5"/>
        <v>317</v>
      </c>
      <c r="AB4" s="58">
        <f t="shared" si="6"/>
        <v>2.4236363636363638</v>
      </c>
      <c r="AC4" s="58">
        <f t="shared" si="7"/>
        <v>0.35980323260716796</v>
      </c>
      <c r="AD4" s="58">
        <f t="shared" si="8"/>
        <v>0.12509090909090909</v>
      </c>
      <c r="AE4" s="58">
        <f t="shared" si="9"/>
        <v>0.33942375263527758</v>
      </c>
      <c r="AF4" s="63">
        <v>0</v>
      </c>
      <c r="AG4" s="63">
        <v>0</v>
      </c>
      <c r="AH4" s="66">
        <f t="shared" si="10"/>
        <v>5.2870206716360564E-2</v>
      </c>
      <c r="AI4" s="68">
        <v>1.603301775147929E-3</v>
      </c>
      <c r="AJ4" s="68">
        <v>1.0797906390532543E-2</v>
      </c>
      <c r="AK4" s="70">
        <v>451</v>
      </c>
      <c r="AL4" s="72">
        <v>0.14500453771859956</v>
      </c>
      <c r="AM4" s="75">
        <f t="shared" si="11"/>
        <v>6.0363636363636362E-2</v>
      </c>
      <c r="AN4" s="75">
        <f t="shared" si="12"/>
        <v>8.6125033712205621</v>
      </c>
      <c r="AO4" s="75">
        <f t="shared" si="13"/>
        <v>0.88526904195219214</v>
      </c>
    </row>
    <row r="5" spans="1:41" ht="14.5">
      <c r="A5" s="47">
        <v>2011</v>
      </c>
      <c r="B5" s="49" t="s">
        <v>103</v>
      </c>
      <c r="C5" s="49" t="s">
        <v>104</v>
      </c>
      <c r="D5" s="49" t="s">
        <v>105</v>
      </c>
      <c r="E5" s="47">
        <v>822</v>
      </c>
      <c r="F5" s="47">
        <v>5034</v>
      </c>
      <c r="G5" s="47">
        <v>483</v>
      </c>
      <c r="H5" s="47">
        <v>171</v>
      </c>
      <c r="I5" s="47">
        <v>946</v>
      </c>
      <c r="J5" s="47">
        <v>-760</v>
      </c>
      <c r="K5" s="47">
        <v>367</v>
      </c>
      <c r="L5" s="47">
        <v>142</v>
      </c>
      <c r="M5" s="47">
        <v>254</v>
      </c>
      <c r="N5" s="47">
        <v>1819</v>
      </c>
      <c r="O5" s="51">
        <v>663</v>
      </c>
      <c r="P5" s="51">
        <v>0</v>
      </c>
      <c r="Q5" s="51">
        <v>0</v>
      </c>
      <c r="R5" s="51">
        <v>1822</v>
      </c>
      <c r="S5" s="47">
        <v>36</v>
      </c>
      <c r="T5" s="51">
        <v>36</v>
      </c>
      <c r="U5" s="47">
        <v>1040</v>
      </c>
      <c r="V5" s="53">
        <v>-569</v>
      </c>
      <c r="W5" s="53">
        <f t="shared" si="1"/>
        <v>7356</v>
      </c>
      <c r="X5" s="55">
        <f t="shared" si="2"/>
        <v>0</v>
      </c>
      <c r="Y5" s="55">
        <f t="shared" si="3"/>
        <v>6156</v>
      </c>
      <c r="Z5" s="58">
        <f t="shared" si="4"/>
        <v>2.0039370078740157</v>
      </c>
      <c r="AA5" s="60">
        <f t="shared" si="5"/>
        <v>378</v>
      </c>
      <c r="AB5" s="58">
        <f t="shared" si="6"/>
        <v>1.2979737783075089</v>
      </c>
      <c r="AC5" s="58">
        <f t="shared" si="7"/>
        <v>0.26509330406147091</v>
      </c>
      <c r="AD5" s="58">
        <f t="shared" si="8"/>
        <v>0.18792212951926898</v>
      </c>
      <c r="AE5" s="58">
        <f t="shared" si="9"/>
        <v>0.36388583973655325</v>
      </c>
      <c r="AF5" s="63">
        <v>0</v>
      </c>
      <c r="AG5" s="63">
        <v>0</v>
      </c>
      <c r="AH5" s="66">
        <f t="shared" si="10"/>
        <v>0.15367121507472384</v>
      </c>
      <c r="AI5" s="68">
        <v>2.316906432748538E-3</v>
      </c>
      <c r="AJ5" s="68">
        <v>1.4121626257309941E-2</v>
      </c>
      <c r="AK5" s="70">
        <v>580</v>
      </c>
      <c r="AL5" s="72">
        <v>0.14163966496852831</v>
      </c>
      <c r="AM5" s="75">
        <f t="shared" si="11"/>
        <v>-0.11303138657131506</v>
      </c>
      <c r="AN5" s="75">
        <f t="shared" si="12"/>
        <v>8.5239701756952613</v>
      </c>
      <c r="AO5" s="75">
        <f t="shared" si="13"/>
        <v>0.26080441646575431</v>
      </c>
    </row>
    <row r="6" spans="1:41" ht="14.5">
      <c r="A6" s="47">
        <v>2012</v>
      </c>
      <c r="B6" s="49" t="s">
        <v>103</v>
      </c>
      <c r="C6" s="49" t="s">
        <v>104</v>
      </c>
      <c r="D6" s="77" t="s">
        <v>105</v>
      </c>
      <c r="E6" s="47">
        <v>903</v>
      </c>
      <c r="F6" s="47">
        <v>5256</v>
      </c>
      <c r="G6" s="47">
        <v>446</v>
      </c>
      <c r="H6" s="47">
        <v>172</v>
      </c>
      <c r="I6" s="47">
        <v>842</v>
      </c>
      <c r="J6" s="47">
        <v>-376</v>
      </c>
      <c r="K6" s="47">
        <v>377</v>
      </c>
      <c r="L6" s="47">
        <v>136</v>
      </c>
      <c r="M6" s="47">
        <v>277</v>
      </c>
      <c r="N6" s="47">
        <v>1846</v>
      </c>
      <c r="O6" s="51">
        <v>696</v>
      </c>
      <c r="P6" s="51">
        <v>0</v>
      </c>
      <c r="Q6" s="51">
        <v>0</v>
      </c>
      <c r="R6" s="51">
        <v>1918</v>
      </c>
      <c r="S6" s="47">
        <v>52</v>
      </c>
      <c r="T6" s="51">
        <v>52</v>
      </c>
      <c r="U6" s="47">
        <v>1040</v>
      </c>
      <c r="V6" s="53">
        <v>311</v>
      </c>
      <c r="W6" s="53">
        <f t="shared" si="1"/>
        <v>10063</v>
      </c>
      <c r="X6" s="55">
        <f t="shared" si="2"/>
        <v>0</v>
      </c>
      <c r="Y6" s="55">
        <f t="shared" si="3"/>
        <v>8944</v>
      </c>
      <c r="Z6" s="58">
        <f t="shared" si="4"/>
        <v>1.8519855595667869</v>
      </c>
      <c r="AA6" s="60">
        <f t="shared" si="5"/>
        <v>216</v>
      </c>
      <c r="AB6" s="58">
        <f t="shared" si="6"/>
        <v>1.7427701674277016</v>
      </c>
      <c r="AC6" s="58">
        <f t="shared" si="7"/>
        <v>0.23253388946819603</v>
      </c>
      <c r="AD6" s="58">
        <f t="shared" si="8"/>
        <v>0.1601978691019787</v>
      </c>
      <c r="AE6" s="58">
        <f t="shared" si="9"/>
        <v>0.36287799791449427</v>
      </c>
      <c r="AF6" s="63">
        <v>0</v>
      </c>
      <c r="AG6" s="83">
        <v>1.8927058919867339E-2</v>
      </c>
      <c r="AH6" s="66">
        <f t="shared" si="10"/>
        <v>9.4141323792486589E-2</v>
      </c>
      <c r="AI6" s="68">
        <v>2.8251627906976744E-3</v>
      </c>
      <c r="AJ6" s="68">
        <v>1.4802641976744186E-2</v>
      </c>
      <c r="AK6" s="70">
        <v>640</v>
      </c>
      <c r="AL6" s="72">
        <v>0.10692313869534242</v>
      </c>
      <c r="AM6" s="75">
        <f t="shared" si="11"/>
        <v>5.9170471841704715E-2</v>
      </c>
      <c r="AN6" s="75">
        <f t="shared" si="12"/>
        <v>8.5671255601644472</v>
      </c>
      <c r="AO6" s="75">
        <f t="shared" si="13"/>
        <v>0.5554758975037295</v>
      </c>
    </row>
    <row r="7" spans="1:41" ht="14.5">
      <c r="A7" s="47">
        <v>2013</v>
      </c>
      <c r="B7" s="49" t="s">
        <v>103</v>
      </c>
      <c r="C7" s="49" t="s">
        <v>104</v>
      </c>
      <c r="D7" s="77" t="s">
        <v>105</v>
      </c>
      <c r="E7" s="47">
        <v>805</v>
      </c>
      <c r="F7" s="47">
        <v>4959</v>
      </c>
      <c r="G7" s="47">
        <v>578</v>
      </c>
      <c r="H7" s="47">
        <v>174</v>
      </c>
      <c r="I7" s="47">
        <v>1012</v>
      </c>
      <c r="J7" s="47">
        <v>-644</v>
      </c>
      <c r="K7" s="47">
        <v>245</v>
      </c>
      <c r="L7" s="47">
        <v>159</v>
      </c>
      <c r="M7" s="47">
        <v>211</v>
      </c>
      <c r="N7" s="47">
        <v>1982</v>
      </c>
      <c r="O7" s="51">
        <v>438</v>
      </c>
      <c r="P7" s="51">
        <v>0</v>
      </c>
      <c r="Q7" s="51">
        <v>0</v>
      </c>
      <c r="R7" s="51">
        <v>1638</v>
      </c>
      <c r="S7" s="47">
        <v>26</v>
      </c>
      <c r="T7" s="51">
        <v>26</v>
      </c>
      <c r="U7" s="47">
        <v>1040</v>
      </c>
      <c r="V7" s="53">
        <v>-407</v>
      </c>
      <c r="W7" s="53">
        <f t="shared" si="1"/>
        <v>5747</v>
      </c>
      <c r="X7" s="55">
        <f t="shared" si="2"/>
        <v>0</v>
      </c>
      <c r="Y7" s="55">
        <f t="shared" si="3"/>
        <v>4524</v>
      </c>
      <c r="Z7" s="58">
        <f t="shared" si="4"/>
        <v>1.9146919431279621</v>
      </c>
      <c r="AA7" s="60">
        <f t="shared" si="5"/>
        <v>418</v>
      </c>
      <c r="AB7" s="58">
        <f t="shared" si="6"/>
        <v>0.99657188949384956</v>
      </c>
      <c r="AC7" s="58">
        <f t="shared" si="7"/>
        <v>0.35286935286935289</v>
      </c>
      <c r="AD7" s="58">
        <f t="shared" si="8"/>
        <v>0.20407340189554346</v>
      </c>
      <c r="AE7" s="58">
        <f t="shared" si="9"/>
        <v>0.26739926739926739</v>
      </c>
      <c r="AF7" s="63">
        <v>0</v>
      </c>
      <c r="AG7" s="63">
        <v>0</v>
      </c>
      <c r="AH7" s="66">
        <f t="shared" si="10"/>
        <v>0.22369584438549955</v>
      </c>
      <c r="AI7" s="68">
        <v>3.910362068965517E-3</v>
      </c>
      <c r="AJ7" s="68">
        <v>8.4701547126436773E-3</v>
      </c>
      <c r="AK7" s="70">
        <v>672</v>
      </c>
      <c r="AL7" s="72">
        <v>8.4259945337114228E-2</v>
      </c>
      <c r="AM7" s="75">
        <f t="shared" si="11"/>
        <v>-8.2072998588425081E-2</v>
      </c>
      <c r="AN7" s="75">
        <f t="shared" si="12"/>
        <v>8.5089593864891331</v>
      </c>
      <c r="AO7" s="75">
        <f t="shared" si="13"/>
        <v>-3.4339999405784936E-3</v>
      </c>
    </row>
    <row r="8" spans="1:41" ht="14.5">
      <c r="A8" s="47">
        <v>2014</v>
      </c>
      <c r="B8" s="49" t="s">
        <v>103</v>
      </c>
      <c r="C8" s="49" t="s">
        <v>104</v>
      </c>
      <c r="D8" s="49" t="s">
        <v>105</v>
      </c>
      <c r="E8" s="47">
        <v>908</v>
      </c>
      <c r="F8" s="47">
        <v>6841</v>
      </c>
      <c r="G8" s="47">
        <v>475</v>
      </c>
      <c r="H8" s="47">
        <v>214</v>
      </c>
      <c r="I8" s="47">
        <v>1344</v>
      </c>
      <c r="J8" s="47">
        <v>-852</v>
      </c>
      <c r="K8" s="47">
        <v>272</v>
      </c>
      <c r="L8" s="47">
        <v>132</v>
      </c>
      <c r="M8" s="47">
        <v>329</v>
      </c>
      <c r="N8" s="47">
        <v>2772</v>
      </c>
      <c r="O8" s="51">
        <v>668</v>
      </c>
      <c r="P8" s="51">
        <v>0</v>
      </c>
      <c r="Q8" s="51">
        <v>0</v>
      </c>
      <c r="R8" s="51">
        <v>1897</v>
      </c>
      <c r="S8" s="47">
        <v>25</v>
      </c>
      <c r="T8" s="51">
        <v>25</v>
      </c>
      <c r="U8" s="47">
        <v>1040</v>
      </c>
      <c r="V8" s="53">
        <v>83</v>
      </c>
      <c r="W8" s="53">
        <f t="shared" si="1"/>
        <v>7023</v>
      </c>
      <c r="X8" s="55">
        <f t="shared" si="2"/>
        <v>0</v>
      </c>
      <c r="Y8" s="55">
        <f t="shared" si="3"/>
        <v>5350</v>
      </c>
      <c r="Z8" s="58">
        <f t="shared" si="4"/>
        <v>1.2279635258358663</v>
      </c>
      <c r="AA8" s="60">
        <f t="shared" si="5"/>
        <v>765</v>
      </c>
      <c r="AB8" s="58">
        <f t="shared" si="6"/>
        <v>0.89387516444964188</v>
      </c>
      <c r="AC8" s="58">
        <f t="shared" si="7"/>
        <v>0.25039536109646809</v>
      </c>
      <c r="AD8" s="58">
        <f t="shared" si="8"/>
        <v>0.19646250548165473</v>
      </c>
      <c r="AE8" s="58">
        <f t="shared" si="9"/>
        <v>0.35213494992092775</v>
      </c>
      <c r="AF8" s="63">
        <v>0</v>
      </c>
      <c r="AG8" s="83">
        <v>0.49528752314057034</v>
      </c>
      <c r="AH8" s="66">
        <f t="shared" si="10"/>
        <v>0.25121495327102805</v>
      </c>
      <c r="AI8" s="68">
        <v>4.4382523364485983E-3</v>
      </c>
      <c r="AJ8" s="68">
        <v>8.7794715887850455E-3</v>
      </c>
      <c r="AK8" s="70">
        <v>637</v>
      </c>
      <c r="AL8" s="72">
        <v>4.6837090078586385E-2</v>
      </c>
      <c r="AM8" s="75">
        <f t="shared" si="11"/>
        <v>1.2132729133167666E-2</v>
      </c>
      <c r="AN8" s="75">
        <f t="shared" si="12"/>
        <v>8.8306891987609983</v>
      </c>
      <c r="AO8" s="75">
        <f t="shared" si="13"/>
        <v>-0.11218915063972526</v>
      </c>
    </row>
    <row r="9" spans="1:41" ht="14.5">
      <c r="A9" s="47">
        <v>2015</v>
      </c>
      <c r="B9" s="49" t="s">
        <v>103</v>
      </c>
      <c r="C9" s="49" t="s">
        <v>104</v>
      </c>
      <c r="D9" s="77" t="s">
        <v>105</v>
      </c>
      <c r="E9" s="47">
        <v>829</v>
      </c>
      <c r="F9" s="47">
        <v>6683</v>
      </c>
      <c r="G9" s="47">
        <v>450</v>
      </c>
      <c r="H9" s="47">
        <v>218</v>
      </c>
      <c r="I9" s="47">
        <v>1128</v>
      </c>
      <c r="J9" s="47">
        <v>-375</v>
      </c>
      <c r="K9" s="47">
        <v>164</v>
      </c>
      <c r="L9" s="47">
        <v>110</v>
      </c>
      <c r="M9" s="47">
        <v>312</v>
      </c>
      <c r="N9" s="47">
        <v>2542</v>
      </c>
      <c r="O9" s="51">
        <v>616</v>
      </c>
      <c r="P9" s="51">
        <v>0</v>
      </c>
      <c r="Q9" s="51">
        <v>0</v>
      </c>
      <c r="R9" s="51">
        <v>1985</v>
      </c>
      <c r="S9" s="47">
        <v>26</v>
      </c>
      <c r="T9" s="51">
        <v>26</v>
      </c>
      <c r="U9" s="47">
        <v>1040</v>
      </c>
      <c r="V9" s="53">
        <v>25</v>
      </c>
      <c r="W9" s="53">
        <f t="shared" si="1"/>
        <v>7108</v>
      </c>
      <c r="X9" s="55">
        <f t="shared" si="2"/>
        <v>0</v>
      </c>
      <c r="Y9" s="55">
        <f t="shared" si="3"/>
        <v>5668</v>
      </c>
      <c r="Z9" s="58">
        <f t="shared" si="4"/>
        <v>0.87820512820512819</v>
      </c>
      <c r="AA9" s="60">
        <f t="shared" si="5"/>
        <v>611</v>
      </c>
      <c r="AB9" s="58">
        <f t="shared" si="6"/>
        <v>0.93954810713751313</v>
      </c>
      <c r="AC9" s="58">
        <f t="shared" si="7"/>
        <v>0.22670025188916876</v>
      </c>
      <c r="AD9" s="58">
        <f t="shared" si="8"/>
        <v>0.16878647314080503</v>
      </c>
      <c r="AE9" s="58">
        <f t="shared" si="9"/>
        <v>0.31032745591939548</v>
      </c>
      <c r="AF9" s="63">
        <v>0</v>
      </c>
      <c r="AG9" s="83">
        <v>0.23532755317961374</v>
      </c>
      <c r="AH9" s="66">
        <f t="shared" si="10"/>
        <v>0.1990119971771348</v>
      </c>
      <c r="AI9" s="68">
        <v>4.6129036697247702E-3</v>
      </c>
      <c r="AJ9" s="68">
        <v>6.301956880733945E-3</v>
      </c>
      <c r="AK9" s="70">
        <v>567</v>
      </c>
      <c r="AL9" s="72">
        <v>3.7237236027222287E-2</v>
      </c>
      <c r="AM9" s="75">
        <f t="shared" si="11"/>
        <v>3.7408349543618137E-3</v>
      </c>
      <c r="AN9" s="75">
        <f t="shared" si="12"/>
        <v>8.8073222675110703</v>
      </c>
      <c r="AO9" s="75">
        <f t="shared" si="13"/>
        <v>-6.2356256396960671E-2</v>
      </c>
    </row>
    <row r="10" spans="1:41" ht="14.5">
      <c r="A10" s="47">
        <v>2016</v>
      </c>
      <c r="B10" s="49" t="s">
        <v>103</v>
      </c>
      <c r="C10" s="49" t="s">
        <v>104</v>
      </c>
      <c r="D10" s="77" t="s">
        <v>105</v>
      </c>
      <c r="E10" s="47">
        <v>1230</v>
      </c>
      <c r="F10" s="47">
        <v>7108</v>
      </c>
      <c r="G10" s="47">
        <v>516</v>
      </c>
      <c r="H10" s="47">
        <v>225</v>
      </c>
      <c r="I10" s="47">
        <v>1079</v>
      </c>
      <c r="J10" s="47">
        <v>-553</v>
      </c>
      <c r="K10" s="47">
        <v>641</v>
      </c>
      <c r="L10" s="47">
        <v>86</v>
      </c>
      <c r="M10" s="47">
        <v>424</v>
      </c>
      <c r="N10" s="47">
        <v>2615</v>
      </c>
      <c r="O10" s="51">
        <v>779</v>
      </c>
      <c r="P10" s="51">
        <v>0</v>
      </c>
      <c r="Q10" s="51">
        <v>0</v>
      </c>
      <c r="R10" s="51">
        <v>2138</v>
      </c>
      <c r="S10" s="47">
        <v>42</v>
      </c>
      <c r="T10" s="51">
        <v>42</v>
      </c>
      <c r="U10" s="47">
        <v>1040</v>
      </c>
      <c r="V10" s="53">
        <v>159</v>
      </c>
      <c r="W10" s="53">
        <f t="shared" si="1"/>
        <v>10953</v>
      </c>
      <c r="X10" s="55">
        <f t="shared" si="2"/>
        <v>0</v>
      </c>
      <c r="Y10" s="55">
        <f t="shared" si="3"/>
        <v>9450</v>
      </c>
      <c r="Z10" s="58">
        <f t="shared" si="4"/>
        <v>1.7146226415094339</v>
      </c>
      <c r="AA10" s="60">
        <f t="shared" si="5"/>
        <v>273</v>
      </c>
      <c r="AB10" s="58">
        <f t="shared" si="6"/>
        <v>1.3678953292065279</v>
      </c>
      <c r="AC10" s="58">
        <f t="shared" si="7"/>
        <v>0.24134705332086062</v>
      </c>
      <c r="AD10" s="58">
        <f t="shared" si="8"/>
        <v>0.15180078784468204</v>
      </c>
      <c r="AE10" s="58">
        <f t="shared" si="9"/>
        <v>0.36435921421889617</v>
      </c>
      <c r="AF10" s="63">
        <v>0</v>
      </c>
      <c r="AG10" s="83">
        <v>3.6120341450425981E-2</v>
      </c>
      <c r="AH10" s="66">
        <f t="shared" si="10"/>
        <v>0.11417989417989417</v>
      </c>
      <c r="AI10" s="68">
        <v>4.3172622222222221E-3</v>
      </c>
      <c r="AJ10" s="68">
        <v>1.9579023555555556E-3</v>
      </c>
      <c r="AK10" s="70">
        <v>573</v>
      </c>
      <c r="AL10" s="72">
        <v>4.1324327762375601E-2</v>
      </c>
      <c r="AM10" s="75">
        <f t="shared" si="11"/>
        <v>2.2369161508159818E-2</v>
      </c>
      <c r="AN10" s="75">
        <f t="shared" si="12"/>
        <v>8.8689761892745427</v>
      </c>
      <c r="AO10" s="75">
        <f t="shared" si="13"/>
        <v>0.31327330253511515</v>
      </c>
    </row>
    <row r="11" spans="1:41" ht="14.5">
      <c r="A11" s="47">
        <v>2017</v>
      </c>
      <c r="B11" s="49" t="s">
        <v>103</v>
      </c>
      <c r="C11" s="49" t="s">
        <v>104</v>
      </c>
      <c r="D11" s="77" t="s">
        <v>105</v>
      </c>
      <c r="E11" s="47">
        <v>1462</v>
      </c>
      <c r="F11" s="47">
        <v>7866</v>
      </c>
      <c r="G11" s="47">
        <v>874</v>
      </c>
      <c r="H11" s="47">
        <v>232</v>
      </c>
      <c r="I11" s="47">
        <v>1374</v>
      </c>
      <c r="J11" s="47">
        <v>-1000</v>
      </c>
      <c r="K11" s="47">
        <v>767</v>
      </c>
      <c r="L11" s="47">
        <v>109</v>
      </c>
      <c r="M11" s="47">
        <v>334</v>
      </c>
      <c r="N11" s="47">
        <v>2919</v>
      </c>
      <c r="O11" s="51">
        <v>768</v>
      </c>
      <c r="P11" s="51">
        <v>0</v>
      </c>
      <c r="Q11" s="51">
        <v>0</v>
      </c>
      <c r="R11" s="51">
        <v>2243</v>
      </c>
      <c r="S11" s="47">
        <v>46</v>
      </c>
      <c r="T11" s="51">
        <v>46</v>
      </c>
      <c r="U11" s="47">
        <v>1040</v>
      </c>
      <c r="V11" s="53">
        <v>244</v>
      </c>
      <c r="W11" s="53">
        <f t="shared" si="1"/>
        <v>12380</v>
      </c>
      <c r="X11" s="55">
        <f t="shared" si="2"/>
        <v>0</v>
      </c>
      <c r="Y11" s="55">
        <f t="shared" si="3"/>
        <v>10672</v>
      </c>
      <c r="Z11" s="58">
        <f t="shared" si="4"/>
        <v>2.6227544910179641</v>
      </c>
      <c r="AA11" s="60">
        <f t="shared" si="5"/>
        <v>246</v>
      </c>
      <c r="AB11" s="58">
        <f t="shared" si="6"/>
        <v>1.387998982964658</v>
      </c>
      <c r="AC11" s="58">
        <f t="shared" si="7"/>
        <v>0.38965670976370931</v>
      </c>
      <c r="AD11" s="58">
        <f t="shared" si="8"/>
        <v>0.17467581998474446</v>
      </c>
      <c r="AE11" s="58">
        <f t="shared" si="9"/>
        <v>0.34239857333927776</v>
      </c>
      <c r="AF11" s="63">
        <v>0</v>
      </c>
      <c r="AG11" s="83">
        <v>0.17159618241162691</v>
      </c>
      <c r="AH11" s="66">
        <f t="shared" si="10"/>
        <v>0.12874812593703147</v>
      </c>
      <c r="AI11" s="68">
        <v>4.2312198275862066E-3</v>
      </c>
      <c r="AJ11" s="68">
        <v>2.0625000000000001E-3</v>
      </c>
      <c r="AK11" s="70">
        <v>558</v>
      </c>
      <c r="AL11" s="72">
        <v>4.7510147648874998E-2</v>
      </c>
      <c r="AM11" s="75">
        <f t="shared" si="11"/>
        <v>3.1019577930333078E-2</v>
      </c>
      <c r="AN11" s="75">
        <f t="shared" si="12"/>
        <v>8.9703049529917553</v>
      </c>
      <c r="AO11" s="75">
        <f t="shared" si="13"/>
        <v>0.32786312934994805</v>
      </c>
    </row>
    <row r="12" spans="1:41" ht="14.5">
      <c r="A12" s="40">
        <v>2009</v>
      </c>
      <c r="B12" s="41" t="s">
        <v>131</v>
      </c>
      <c r="C12" s="41" t="s">
        <v>132</v>
      </c>
      <c r="D12" s="41" t="s">
        <v>105</v>
      </c>
      <c r="E12" s="40">
        <v>4938</v>
      </c>
      <c r="F12" s="40">
        <v>27075</v>
      </c>
      <c r="G12" s="40">
        <v>2351</v>
      </c>
      <c r="H12" s="40">
        <v>984</v>
      </c>
      <c r="I12" s="40">
        <v>6281</v>
      </c>
      <c r="J12" s="40">
        <v>-2415</v>
      </c>
      <c r="K12" s="91">
        <v>2564</v>
      </c>
      <c r="L12" s="91">
        <v>452</v>
      </c>
      <c r="M12" s="40">
        <v>1773</v>
      </c>
      <c r="N12" s="40">
        <v>11528</v>
      </c>
      <c r="O12" s="40">
        <v>-2322</v>
      </c>
      <c r="P12" s="40">
        <v>9277</v>
      </c>
      <c r="Q12" s="40">
        <v>0</v>
      </c>
      <c r="R12" s="40">
        <v>8136</v>
      </c>
      <c r="S12" s="40">
        <v>39</v>
      </c>
      <c r="T12" s="91">
        <v>39</v>
      </c>
      <c r="U12" s="40">
        <v>1040</v>
      </c>
      <c r="V12" s="40">
        <v>-4274</v>
      </c>
      <c r="W12" s="93">
        <f t="shared" si="1"/>
        <v>46430</v>
      </c>
      <c r="X12" s="50">
        <f t="shared" si="2"/>
        <v>0.19980615981046737</v>
      </c>
      <c r="Y12" s="93">
        <f t="shared" si="3"/>
        <v>38376</v>
      </c>
      <c r="Z12" s="50">
        <f t="shared" si="4"/>
        <v>1.7010716300056401</v>
      </c>
      <c r="AA12">
        <f t="shared" si="5"/>
        <v>3116</v>
      </c>
      <c r="AB12" s="50">
        <f t="shared" si="6"/>
        <v>1.5324838411819022</v>
      </c>
      <c r="AC12" s="50">
        <f t="shared" si="7"/>
        <v>0.28896263520157328</v>
      </c>
      <c r="AD12" s="50">
        <f t="shared" si="8"/>
        <v>0.23198522622345338</v>
      </c>
      <c r="AE12" s="50">
        <f t="shared" si="9"/>
        <v>-0.28539823008849557</v>
      </c>
      <c r="AF12" s="96">
        <v>0</v>
      </c>
      <c r="AG12" s="98">
        <v>0.90669898670800153</v>
      </c>
      <c r="AH12" s="100">
        <f t="shared" si="10"/>
        <v>0.16367000208463622</v>
      </c>
      <c r="AI12" s="101">
        <v>3.7082012195121953E-4</v>
      </c>
      <c r="AJ12" s="101">
        <v>4.9760152439024393E-3</v>
      </c>
      <c r="AK12" s="102">
        <v>466</v>
      </c>
      <c r="AL12" s="103">
        <v>0.12303343166175029</v>
      </c>
      <c r="AM12" s="75">
        <f t="shared" si="11"/>
        <v>-0.15785780240073868</v>
      </c>
      <c r="AN12" s="75">
        <f t="shared" si="12"/>
        <v>10.206366071869191</v>
      </c>
      <c r="AO12" s="75">
        <f t="shared" si="13"/>
        <v>0.42688984468252733</v>
      </c>
    </row>
    <row r="13" spans="1:41" ht="14.5">
      <c r="A13" s="40">
        <v>2010</v>
      </c>
      <c r="B13" s="41" t="s">
        <v>131</v>
      </c>
      <c r="C13" s="41" t="s">
        <v>132</v>
      </c>
      <c r="D13" s="41" t="s">
        <v>105</v>
      </c>
      <c r="E13" s="40">
        <v>7113</v>
      </c>
      <c r="F13" s="40">
        <v>33322</v>
      </c>
      <c r="G13" s="40">
        <v>3323</v>
      </c>
      <c r="H13" s="40">
        <v>999</v>
      </c>
      <c r="I13" s="40">
        <v>6678</v>
      </c>
      <c r="J13" s="40">
        <v>-4172</v>
      </c>
      <c r="K13" s="40">
        <v>3968</v>
      </c>
      <c r="L13" s="40">
        <v>557</v>
      </c>
      <c r="M13" s="40">
        <v>2489</v>
      </c>
      <c r="N13" s="40">
        <v>12588</v>
      </c>
      <c r="O13" s="40">
        <v>4127</v>
      </c>
      <c r="P13" s="40">
        <v>6231</v>
      </c>
      <c r="Q13" s="40">
        <v>0</v>
      </c>
      <c r="R13" s="40">
        <v>10924</v>
      </c>
      <c r="S13" s="40">
        <v>53</v>
      </c>
      <c r="T13" s="91">
        <v>53</v>
      </c>
      <c r="U13" s="40">
        <v>1040</v>
      </c>
      <c r="V13" s="40">
        <v>3274</v>
      </c>
      <c r="W13" s="93">
        <f t="shared" si="1"/>
        <v>62114</v>
      </c>
      <c r="X13" s="50">
        <f t="shared" si="2"/>
        <v>0.10031554882957143</v>
      </c>
      <c r="Y13" s="93">
        <f t="shared" si="3"/>
        <v>52947</v>
      </c>
      <c r="Z13" s="50">
        <f t="shared" si="4"/>
        <v>1.8179991964644435</v>
      </c>
      <c r="AA13">
        <f t="shared" si="5"/>
        <v>2054</v>
      </c>
      <c r="AB13" s="50">
        <f t="shared" si="6"/>
        <v>1.6505912010083428</v>
      </c>
      <c r="AC13" s="50">
        <f t="shared" si="7"/>
        <v>0.30419260344196264</v>
      </c>
      <c r="AD13" s="50">
        <f t="shared" si="8"/>
        <v>0.20040813876718083</v>
      </c>
      <c r="AE13" s="50">
        <f t="shared" si="9"/>
        <v>0.37779201757597952</v>
      </c>
      <c r="AF13" s="96">
        <v>0</v>
      </c>
      <c r="AG13" s="98">
        <v>1.4057684156987633</v>
      </c>
      <c r="AH13" s="100">
        <f t="shared" si="10"/>
        <v>0.12612612612612611</v>
      </c>
      <c r="AI13" s="101">
        <v>3.5743743743743746E-4</v>
      </c>
      <c r="AJ13" s="101">
        <v>3.2611791791791792E-3</v>
      </c>
      <c r="AK13" s="102">
        <v>457</v>
      </c>
      <c r="AL13" s="103">
        <v>0.11213841083852072</v>
      </c>
      <c r="AM13" s="75">
        <f t="shared" si="11"/>
        <v>9.8253406158093748E-2</v>
      </c>
      <c r="AN13" s="75">
        <f t="shared" si="12"/>
        <v>10.413973118489015</v>
      </c>
      <c r="AO13" s="75">
        <f t="shared" si="13"/>
        <v>0.50113352737848849</v>
      </c>
    </row>
    <row r="14" spans="1:41" ht="14.5">
      <c r="A14" s="40">
        <v>2011</v>
      </c>
      <c r="B14" s="41" t="s">
        <v>131</v>
      </c>
      <c r="C14" s="41" t="s">
        <v>132</v>
      </c>
      <c r="D14" s="41" t="s">
        <v>105</v>
      </c>
      <c r="E14" s="40">
        <v>6545</v>
      </c>
      <c r="F14" s="40">
        <v>48884</v>
      </c>
      <c r="G14" s="40">
        <v>4973</v>
      </c>
      <c r="H14" s="40">
        <v>1000</v>
      </c>
      <c r="I14" s="40">
        <v>13173</v>
      </c>
      <c r="J14" s="40">
        <v>-12827</v>
      </c>
      <c r="K14" s="40">
        <v>2745</v>
      </c>
      <c r="L14" s="40">
        <v>620</v>
      </c>
      <c r="M14" s="40">
        <v>2911</v>
      </c>
      <c r="N14" s="40">
        <v>23330</v>
      </c>
      <c r="O14" s="40">
        <v>5315</v>
      </c>
      <c r="P14" s="40">
        <v>9901</v>
      </c>
      <c r="Q14" s="40">
        <v>0</v>
      </c>
      <c r="R14" s="40">
        <v>14312</v>
      </c>
      <c r="S14" s="40">
        <v>45</v>
      </c>
      <c r="T14" s="91">
        <v>45</v>
      </c>
      <c r="U14" s="40">
        <v>1040</v>
      </c>
      <c r="V14" s="40">
        <v>4484</v>
      </c>
      <c r="W14" s="93">
        <f t="shared" si="1"/>
        <v>61084</v>
      </c>
      <c r="X14" s="50">
        <f t="shared" si="2"/>
        <v>0.16208827188789207</v>
      </c>
      <c r="Y14" s="93">
        <f t="shared" si="3"/>
        <v>45000</v>
      </c>
      <c r="Z14" s="50">
        <f t="shared" si="4"/>
        <v>1.1559601511508073</v>
      </c>
      <c r="AA14">
        <f t="shared" si="5"/>
        <v>9539</v>
      </c>
      <c r="AB14" s="50">
        <f t="shared" si="6"/>
        <v>1.1156820227477293</v>
      </c>
      <c r="AC14" s="50">
        <f t="shared" si="7"/>
        <v>0.34747065399664617</v>
      </c>
      <c r="AD14" s="50">
        <f t="shared" si="8"/>
        <v>0.26947467474020131</v>
      </c>
      <c r="AE14" s="50">
        <f t="shared" si="9"/>
        <v>0.37136668529904976</v>
      </c>
      <c r="AF14" s="96">
        <v>0</v>
      </c>
      <c r="AG14" s="98">
        <v>1.3764223696748541</v>
      </c>
      <c r="AH14" s="100">
        <f t="shared" si="10"/>
        <v>0.29273333333333335</v>
      </c>
      <c r="AI14" s="101">
        <v>2.1531999999999999E-4</v>
      </c>
      <c r="AJ14" s="101">
        <v>2.2265029999999999E-3</v>
      </c>
      <c r="AK14" s="102">
        <v>339</v>
      </c>
      <c r="AL14" s="103">
        <v>0.14316657350475126</v>
      </c>
      <c r="AM14" s="75">
        <f t="shared" si="11"/>
        <v>9.1727354553637189E-2</v>
      </c>
      <c r="AN14" s="75">
        <f t="shared" si="12"/>
        <v>10.797205423557891</v>
      </c>
      <c r="AO14" s="75">
        <f t="shared" si="13"/>
        <v>0.10946589750674711</v>
      </c>
    </row>
    <row r="15" spans="1:41" ht="14.5">
      <c r="A15" s="40">
        <v>2012</v>
      </c>
      <c r="B15" s="41" t="s">
        <v>131</v>
      </c>
      <c r="C15" s="41" t="s">
        <v>132</v>
      </c>
      <c r="D15" s="41" t="s">
        <v>105</v>
      </c>
      <c r="E15" s="40">
        <v>5863</v>
      </c>
      <c r="F15" s="40">
        <v>47282</v>
      </c>
      <c r="G15" s="40">
        <v>6369</v>
      </c>
      <c r="H15" s="40">
        <v>1001</v>
      </c>
      <c r="I15" s="40">
        <v>12095</v>
      </c>
      <c r="J15" s="40">
        <v>-6521</v>
      </c>
      <c r="K15" s="40">
        <v>2093</v>
      </c>
      <c r="L15" s="40">
        <v>675</v>
      </c>
      <c r="M15" s="40">
        <v>4415</v>
      </c>
      <c r="N15" s="40">
        <v>22774</v>
      </c>
      <c r="O15" s="40">
        <v>5439</v>
      </c>
      <c r="P15" s="40">
        <v>7528</v>
      </c>
      <c r="Q15" s="40">
        <v>0</v>
      </c>
      <c r="R15" s="40">
        <v>14547</v>
      </c>
      <c r="S15" s="40">
        <v>35</v>
      </c>
      <c r="T15" s="91">
        <v>35</v>
      </c>
      <c r="U15" s="40">
        <v>1040</v>
      </c>
      <c r="V15" s="40">
        <v>-665</v>
      </c>
      <c r="W15" s="93">
        <f t="shared" si="1"/>
        <v>51545</v>
      </c>
      <c r="X15" s="50">
        <f t="shared" si="2"/>
        <v>0.14604714327286836</v>
      </c>
      <c r="Y15" s="93">
        <f t="shared" si="3"/>
        <v>35035</v>
      </c>
      <c r="Z15" s="50">
        <f t="shared" si="4"/>
        <v>0.6269535673839185</v>
      </c>
      <c r="AA15">
        <f t="shared" si="5"/>
        <v>10647</v>
      </c>
      <c r="AB15" s="50">
        <f t="shared" si="6"/>
        <v>0.96616048390508014</v>
      </c>
      <c r="AC15" s="50">
        <f t="shared" si="7"/>
        <v>0.43782223138791504</v>
      </c>
      <c r="AD15" s="50">
        <f t="shared" si="8"/>
        <v>0.25580559198003466</v>
      </c>
      <c r="AE15" s="50">
        <f t="shared" si="9"/>
        <v>0.3738915240255723</v>
      </c>
      <c r="AF15" s="96">
        <v>0</v>
      </c>
      <c r="AG15" s="98">
        <v>1.1041590280907894</v>
      </c>
      <c r="AH15" s="100">
        <f t="shared" si="10"/>
        <v>0.34522620236905949</v>
      </c>
      <c r="AI15" s="101">
        <v>2.4613826173826175E-3</v>
      </c>
      <c r="AJ15" s="101">
        <v>2.6212017982017981E-3</v>
      </c>
      <c r="AK15" s="102">
        <v>584</v>
      </c>
      <c r="AL15" s="103">
        <v>0.13631676634357603</v>
      </c>
      <c r="AM15" s="75">
        <f t="shared" si="11"/>
        <v>-1.406454887695106E-2</v>
      </c>
      <c r="AN15" s="75">
        <f t="shared" si="12"/>
        <v>10.763884952369743</v>
      </c>
      <c r="AO15" s="75">
        <f t="shared" si="13"/>
        <v>-3.4425326161163887E-2</v>
      </c>
    </row>
    <row r="16" spans="1:41" ht="14.5">
      <c r="A16" s="40">
        <v>2013</v>
      </c>
      <c r="B16" s="41" t="s">
        <v>131</v>
      </c>
      <c r="C16" s="41" t="s">
        <v>132</v>
      </c>
      <c r="D16" s="41" t="s">
        <v>105</v>
      </c>
      <c r="E16" s="40">
        <v>6212</v>
      </c>
      <c r="F16" s="40">
        <v>37448</v>
      </c>
      <c r="G16" s="40">
        <v>5501</v>
      </c>
      <c r="H16" s="40">
        <v>1165</v>
      </c>
      <c r="I16" s="40">
        <v>12901</v>
      </c>
      <c r="J16" s="40">
        <v>-5237</v>
      </c>
      <c r="K16" s="91">
        <v>2404</v>
      </c>
      <c r="L16" s="91">
        <v>647</v>
      </c>
      <c r="M16" s="40">
        <v>2884</v>
      </c>
      <c r="N16" s="40">
        <v>21447</v>
      </c>
      <c r="O16" s="40">
        <v>4239</v>
      </c>
      <c r="P16" s="40">
        <v>9327</v>
      </c>
      <c r="Q16" s="40">
        <v>0</v>
      </c>
      <c r="R16" s="40">
        <v>12511</v>
      </c>
      <c r="S16" s="40">
        <v>18</v>
      </c>
      <c r="T16" s="91">
        <v>18</v>
      </c>
      <c r="U16" s="40">
        <v>1040</v>
      </c>
      <c r="V16" s="40">
        <v>-10366</v>
      </c>
      <c r="W16" s="93">
        <f t="shared" si="1"/>
        <v>36755</v>
      </c>
      <c r="X16" s="50">
        <f t="shared" si="2"/>
        <v>0.25376139300775402</v>
      </c>
      <c r="Y16" s="93">
        <f t="shared" si="3"/>
        <v>20970</v>
      </c>
      <c r="Z16" s="50">
        <f t="shared" si="4"/>
        <v>1.0579056865464633</v>
      </c>
      <c r="AA16">
        <f t="shared" si="5"/>
        <v>9573</v>
      </c>
      <c r="AB16" s="50">
        <f t="shared" si="6"/>
        <v>0.81561098055970949</v>
      </c>
      <c r="AC16" s="50">
        <f t="shared" si="7"/>
        <v>0.43969307009831349</v>
      </c>
      <c r="AD16" s="50">
        <f t="shared" si="8"/>
        <v>0.34450437940610978</v>
      </c>
      <c r="AE16" s="50">
        <f t="shared" si="9"/>
        <v>0.33882183678363043</v>
      </c>
      <c r="AF16" s="96">
        <v>0</v>
      </c>
      <c r="AG16" s="98">
        <v>2.0234047855975215</v>
      </c>
      <c r="AH16" s="100">
        <f t="shared" si="10"/>
        <v>0.61521220791607056</v>
      </c>
      <c r="AI16" s="101">
        <v>2.576456652360515E-3</v>
      </c>
      <c r="AJ16" s="101">
        <v>1.4288763948497854E-3</v>
      </c>
      <c r="AK16" s="102">
        <v>566</v>
      </c>
      <c r="AL16" s="103">
        <v>0.14715050755335302</v>
      </c>
      <c r="AM16" s="75">
        <f t="shared" si="11"/>
        <v>-0.27681051057466355</v>
      </c>
      <c r="AN16" s="75">
        <f t="shared" si="12"/>
        <v>10.530708582979907</v>
      </c>
      <c r="AO16" s="75">
        <f t="shared" si="13"/>
        <v>-0.20381777720460106</v>
      </c>
    </row>
    <row r="17" spans="1:41" ht="14.5">
      <c r="A17" s="40">
        <v>2014</v>
      </c>
      <c r="B17" s="41" t="s">
        <v>131</v>
      </c>
      <c r="C17" s="41" t="s">
        <v>132</v>
      </c>
      <c r="D17" s="41" t="s">
        <v>105</v>
      </c>
      <c r="E17" s="40">
        <v>6150</v>
      </c>
      <c r="F17" s="40">
        <v>33879</v>
      </c>
      <c r="G17" s="40">
        <v>2432</v>
      </c>
      <c r="H17" s="40">
        <v>1165</v>
      </c>
      <c r="I17" s="40">
        <v>12748</v>
      </c>
      <c r="J17" s="40">
        <v>-1950</v>
      </c>
      <c r="K17" s="40">
        <v>2699</v>
      </c>
      <c r="L17" s="40">
        <v>626</v>
      </c>
      <c r="M17" s="40">
        <v>2560</v>
      </c>
      <c r="N17" s="40">
        <v>21017</v>
      </c>
      <c r="O17" s="40">
        <v>2296</v>
      </c>
      <c r="P17" s="40">
        <v>8558</v>
      </c>
      <c r="Q17" s="40">
        <v>0</v>
      </c>
      <c r="R17" s="40">
        <v>10248</v>
      </c>
      <c r="S17" s="40">
        <v>11</v>
      </c>
      <c r="T17" s="91">
        <v>11</v>
      </c>
      <c r="U17" s="40">
        <v>1040</v>
      </c>
      <c r="V17" s="40">
        <v>-2907</v>
      </c>
      <c r="W17" s="93">
        <f t="shared" si="1"/>
        <v>28123</v>
      </c>
      <c r="X17" s="50">
        <f t="shared" si="2"/>
        <v>0.3043060839881947</v>
      </c>
      <c r="Y17" s="93">
        <f t="shared" si="3"/>
        <v>12815</v>
      </c>
      <c r="Z17" s="50">
        <f t="shared" si="4"/>
        <v>1.298828125</v>
      </c>
      <c r="AA17">
        <f t="shared" si="5"/>
        <v>9158</v>
      </c>
      <c r="AB17" s="50">
        <f t="shared" si="6"/>
        <v>0.64857286224504851</v>
      </c>
      <c r="AC17" s="50">
        <f t="shared" si="7"/>
        <v>0.23731459797033569</v>
      </c>
      <c r="AD17" s="50">
        <f t="shared" si="8"/>
        <v>0.37628029162608106</v>
      </c>
      <c r="AE17" s="50">
        <f t="shared" si="9"/>
        <v>0.22404371584699453</v>
      </c>
      <c r="AF17" s="96">
        <v>0</v>
      </c>
      <c r="AG17" s="98">
        <v>1.7132000057058092</v>
      </c>
      <c r="AH17" s="100">
        <f t="shared" si="10"/>
        <v>0.99477175185329691</v>
      </c>
      <c r="AI17" s="101">
        <v>1.1545759656652361E-3</v>
      </c>
      <c r="AJ17" s="101">
        <v>1.2924824034334765E-3</v>
      </c>
      <c r="AK17" s="102">
        <v>598</v>
      </c>
      <c r="AL17" s="103">
        <v>0.14601035257349348</v>
      </c>
      <c r="AM17" s="75">
        <f t="shared" si="11"/>
        <v>-8.5805366156025853E-2</v>
      </c>
      <c r="AN17" s="75">
        <f t="shared" si="12"/>
        <v>10.43055063239178</v>
      </c>
      <c r="AO17" s="75">
        <f t="shared" si="13"/>
        <v>-0.4329809264945132</v>
      </c>
    </row>
    <row r="18" spans="1:41" ht="14.5">
      <c r="A18" s="40">
        <v>2015</v>
      </c>
      <c r="B18" s="41" t="s">
        <v>131</v>
      </c>
      <c r="C18" s="41" t="s">
        <v>132</v>
      </c>
      <c r="D18" s="41" t="s">
        <v>105</v>
      </c>
      <c r="E18" s="40">
        <v>5468</v>
      </c>
      <c r="F18" s="40">
        <v>26308</v>
      </c>
      <c r="G18" s="40">
        <v>1713</v>
      </c>
      <c r="H18" s="40">
        <v>1165</v>
      </c>
      <c r="I18" s="40">
        <v>9765</v>
      </c>
      <c r="J18" s="40">
        <v>250</v>
      </c>
      <c r="K18" s="91">
        <v>2455</v>
      </c>
      <c r="L18" s="91">
        <v>474</v>
      </c>
      <c r="M18" s="40">
        <v>1847</v>
      </c>
      <c r="N18" s="40">
        <v>16853</v>
      </c>
      <c r="O18" s="40">
        <v>2794</v>
      </c>
      <c r="P18" s="40">
        <v>10692</v>
      </c>
      <c r="Q18" s="40">
        <v>0</v>
      </c>
      <c r="R18" s="40">
        <v>9035</v>
      </c>
      <c r="S18" s="40">
        <v>7</v>
      </c>
      <c r="T18" s="91">
        <v>7</v>
      </c>
      <c r="U18" s="40">
        <v>1040</v>
      </c>
      <c r="V18" s="40">
        <v>-2838</v>
      </c>
      <c r="W18" s="93">
        <f t="shared" si="1"/>
        <v>19767</v>
      </c>
      <c r="X18" s="50">
        <f t="shared" si="2"/>
        <v>0.54090150250417357</v>
      </c>
      <c r="Y18" s="93">
        <f t="shared" si="3"/>
        <v>8155</v>
      </c>
      <c r="Z18" s="50">
        <f t="shared" si="4"/>
        <v>1.5858148348673524</v>
      </c>
      <c r="AA18">
        <f t="shared" si="5"/>
        <v>6144</v>
      </c>
      <c r="AB18" s="50">
        <f t="shared" si="6"/>
        <v>0.54352288277330085</v>
      </c>
      <c r="AC18" s="50">
        <f t="shared" si="7"/>
        <v>0.18959601549529606</v>
      </c>
      <c r="AD18" s="50">
        <f t="shared" si="8"/>
        <v>0.37117986924129542</v>
      </c>
      <c r="AE18" s="50">
        <f t="shared" si="9"/>
        <v>0.30924183729939125</v>
      </c>
      <c r="AF18" s="96">
        <v>0</v>
      </c>
      <c r="AG18" s="98">
        <v>1.2082105614589898</v>
      </c>
      <c r="AH18" s="100">
        <f t="shared" si="10"/>
        <v>1.1974248927038627</v>
      </c>
      <c r="AI18" s="101">
        <v>2.0139793991416307E-3</v>
      </c>
      <c r="AJ18" s="101">
        <v>5.1010386266094423E-4</v>
      </c>
      <c r="AK18" s="102">
        <v>596</v>
      </c>
      <c r="AL18" s="103">
        <v>0.13467715140104108</v>
      </c>
      <c r="AM18" s="75">
        <f t="shared" si="11"/>
        <v>-0.10787593127565759</v>
      </c>
      <c r="AN18" s="75">
        <f t="shared" si="12"/>
        <v>10.177628354421241</v>
      </c>
      <c r="AO18" s="75">
        <f t="shared" si="13"/>
        <v>-0.60968347068839446</v>
      </c>
    </row>
    <row r="19" spans="1:41" ht="14.5">
      <c r="A19" s="40">
        <v>2016</v>
      </c>
      <c r="B19" s="41" t="s">
        <v>131</v>
      </c>
      <c r="C19" s="41" t="s">
        <v>132</v>
      </c>
      <c r="D19" s="41" t="s">
        <v>105</v>
      </c>
      <c r="E19" s="40">
        <v>4874</v>
      </c>
      <c r="F19" s="40">
        <v>25264</v>
      </c>
      <c r="G19" s="40">
        <v>1126</v>
      </c>
      <c r="H19" s="40">
        <v>1166</v>
      </c>
      <c r="I19" s="40">
        <v>7788</v>
      </c>
      <c r="J19" s="40">
        <v>-412</v>
      </c>
      <c r="K19" s="91">
        <v>2389</v>
      </c>
      <c r="L19" s="91">
        <v>488</v>
      </c>
      <c r="M19" s="40">
        <v>1819</v>
      </c>
      <c r="N19" s="40">
        <v>14951</v>
      </c>
      <c r="O19" s="40">
        <v>2640</v>
      </c>
      <c r="P19" s="40">
        <v>10779</v>
      </c>
      <c r="Q19" s="40">
        <v>0</v>
      </c>
      <c r="R19" s="40">
        <v>8558</v>
      </c>
      <c r="S19" s="40">
        <v>16</v>
      </c>
      <c r="T19" s="91">
        <v>16</v>
      </c>
      <c r="U19" s="40">
        <v>1040</v>
      </c>
      <c r="V19" s="40">
        <v>655</v>
      </c>
      <c r="W19" s="93">
        <f t="shared" si="1"/>
        <v>28263</v>
      </c>
      <c r="X19" s="50">
        <f t="shared" si="2"/>
        <v>0.38138201889396028</v>
      </c>
      <c r="Y19" s="93">
        <f t="shared" si="3"/>
        <v>18656</v>
      </c>
      <c r="Z19" s="50">
        <f t="shared" si="4"/>
        <v>1.5816382627817482</v>
      </c>
      <c r="AA19">
        <f t="shared" si="5"/>
        <v>4733</v>
      </c>
      <c r="AB19" s="50">
        <f t="shared" si="6"/>
        <v>0.92578372387587082</v>
      </c>
      <c r="AC19" s="50">
        <f t="shared" si="7"/>
        <v>0.13157279738256603</v>
      </c>
      <c r="AD19" s="50">
        <f t="shared" si="8"/>
        <v>0.30826472450918302</v>
      </c>
      <c r="AE19" s="50">
        <f t="shared" si="9"/>
        <v>0.30848329048843187</v>
      </c>
      <c r="AF19" s="98">
        <v>7.4782608695652172E-3</v>
      </c>
      <c r="AG19" s="98">
        <v>0.80382207467437583</v>
      </c>
      <c r="AH19" s="100">
        <f t="shared" si="10"/>
        <v>0.41745283018867924</v>
      </c>
      <c r="AI19" s="101">
        <v>2.5385746140651803E-3</v>
      </c>
      <c r="AJ19" s="101">
        <v>2.9782590051457978E-4</v>
      </c>
      <c r="AK19" s="102">
        <v>546</v>
      </c>
      <c r="AL19" s="103">
        <v>7.5952325309651791E-2</v>
      </c>
      <c r="AM19" s="75">
        <f t="shared" si="11"/>
        <v>2.5926219126029132E-2</v>
      </c>
      <c r="AN19" s="75">
        <f t="shared" si="12"/>
        <v>10.137135736495424</v>
      </c>
      <c r="AO19" s="75">
        <f t="shared" si="13"/>
        <v>-7.7114631144529336E-2</v>
      </c>
    </row>
    <row r="20" spans="1:41" ht="14.5">
      <c r="A20" s="40">
        <v>2017</v>
      </c>
      <c r="B20" s="41" t="s">
        <v>131</v>
      </c>
      <c r="C20" s="41" t="s">
        <v>132</v>
      </c>
      <c r="D20" s="41" t="s">
        <v>105</v>
      </c>
      <c r="E20" s="40">
        <v>4684</v>
      </c>
      <c r="F20" s="40">
        <v>25308</v>
      </c>
      <c r="G20" s="40">
        <v>1396</v>
      </c>
      <c r="H20" s="40">
        <v>1167</v>
      </c>
      <c r="I20" s="40">
        <v>6364</v>
      </c>
      <c r="J20" s="40">
        <v>-337</v>
      </c>
      <c r="K20" s="91">
        <v>2234</v>
      </c>
      <c r="L20" s="91">
        <v>406</v>
      </c>
      <c r="M20" s="40">
        <v>1747</v>
      </c>
      <c r="N20" s="40">
        <v>14241</v>
      </c>
      <c r="O20" s="40">
        <v>2065</v>
      </c>
      <c r="P20" s="40">
        <v>12892</v>
      </c>
      <c r="Q20" s="40">
        <v>0</v>
      </c>
      <c r="R20" s="40">
        <v>8374</v>
      </c>
      <c r="S20" s="40">
        <v>14</v>
      </c>
      <c r="T20" s="91">
        <v>14</v>
      </c>
      <c r="U20" s="40">
        <v>1040</v>
      </c>
      <c r="V20" s="40">
        <v>1438</v>
      </c>
      <c r="W20" s="93">
        <f t="shared" si="1"/>
        <v>24449</v>
      </c>
      <c r="X20" s="50">
        <f t="shared" si="2"/>
        <v>0.52730173013211179</v>
      </c>
      <c r="Y20" s="93">
        <f t="shared" si="3"/>
        <v>16338</v>
      </c>
      <c r="Z20" s="50">
        <f t="shared" si="4"/>
        <v>1.5111619919862622</v>
      </c>
      <c r="AA20">
        <f t="shared" si="5"/>
        <v>3427</v>
      </c>
      <c r="AB20" s="50">
        <f t="shared" si="6"/>
        <v>0.78097834676782041</v>
      </c>
      <c r="AC20" s="50">
        <f t="shared" si="7"/>
        <v>0.16670647241461667</v>
      </c>
      <c r="AD20" s="50">
        <f t="shared" si="8"/>
        <v>0.25146198830409355</v>
      </c>
      <c r="AE20" s="50">
        <f t="shared" si="9"/>
        <v>0.24659660855027465</v>
      </c>
      <c r="AF20" s="98">
        <v>2.2105263157894735E-2</v>
      </c>
      <c r="AG20" s="98">
        <v>0.31100000000000766</v>
      </c>
      <c r="AH20" s="100">
        <f t="shared" si="10"/>
        <v>0.38952136124372627</v>
      </c>
      <c r="AI20" s="101">
        <v>2.6320591259640105E-3</v>
      </c>
      <c r="AJ20" s="101">
        <v>2.3351071122536417E-4</v>
      </c>
      <c r="AK20" s="102">
        <v>526</v>
      </c>
      <c r="AL20" s="103">
        <v>8.5000000000000006E-2</v>
      </c>
      <c r="AM20" s="75">
        <f t="shared" si="11"/>
        <v>5.6819977872609451E-2</v>
      </c>
      <c r="AN20" s="75">
        <f t="shared" si="12"/>
        <v>10.138875830266775</v>
      </c>
      <c r="AO20" s="75">
        <f t="shared" si="13"/>
        <v>-0.24720785453598906</v>
      </c>
    </row>
    <row r="21" spans="1:41" ht="14.5">
      <c r="A21" s="47">
        <v>2009</v>
      </c>
      <c r="B21" s="49" t="s">
        <v>150</v>
      </c>
      <c r="C21" s="49" t="s">
        <v>151</v>
      </c>
      <c r="D21" s="49" t="s">
        <v>105</v>
      </c>
      <c r="E21" s="47">
        <v>5822</v>
      </c>
      <c r="F21" s="47">
        <v>22299</v>
      </c>
      <c r="G21" s="47">
        <v>1769</v>
      </c>
      <c r="H21" s="47">
        <v>491</v>
      </c>
      <c r="I21" s="47">
        <v>4652</v>
      </c>
      <c r="J21" s="47">
        <v>-2781</v>
      </c>
      <c r="K21" s="47">
        <v>3271</v>
      </c>
      <c r="L21" s="47">
        <v>551</v>
      </c>
      <c r="M21" s="47">
        <v>2320</v>
      </c>
      <c r="N21" s="47">
        <v>9686</v>
      </c>
      <c r="O21" s="47">
        <v>2947</v>
      </c>
      <c r="P21" s="47">
        <v>1213</v>
      </c>
      <c r="Q21" s="47">
        <v>0</v>
      </c>
      <c r="R21" s="47">
        <v>7705</v>
      </c>
      <c r="S21" s="47">
        <v>47</v>
      </c>
      <c r="T21" s="51">
        <v>47</v>
      </c>
      <c r="U21" s="47">
        <v>1040</v>
      </c>
      <c r="V21" s="53">
        <v>1297</v>
      </c>
      <c r="W21" s="53">
        <f t="shared" si="1"/>
        <v>30049</v>
      </c>
      <c r="X21" s="58">
        <f t="shared" si="2"/>
        <v>4.0367399913474655E-2</v>
      </c>
      <c r="Y21" s="55">
        <f t="shared" si="3"/>
        <v>23077</v>
      </c>
      <c r="Z21" s="58">
        <f t="shared" si="4"/>
        <v>1.6474137931034483</v>
      </c>
      <c r="AA21" s="60">
        <f t="shared" si="5"/>
        <v>1150</v>
      </c>
      <c r="AB21" s="58">
        <f t="shared" si="6"/>
        <v>1.0864612762904167</v>
      </c>
      <c r="AC21" s="58">
        <f t="shared" si="7"/>
        <v>0.22959117456197276</v>
      </c>
      <c r="AD21" s="58">
        <f t="shared" si="8"/>
        <v>0.20861922059285171</v>
      </c>
      <c r="AE21" s="58">
        <f t="shared" si="9"/>
        <v>0.38247890979883192</v>
      </c>
      <c r="AF21" s="63">
        <v>0</v>
      </c>
      <c r="AG21" s="83">
        <v>0.16182087003314416</v>
      </c>
      <c r="AH21" s="66">
        <f t="shared" si="10"/>
        <v>0.20158599471335095</v>
      </c>
      <c r="AI21" s="68">
        <v>5.1527902240325861E-4</v>
      </c>
      <c r="AJ21" s="68">
        <v>2.1214215885947047E-3</v>
      </c>
      <c r="AK21" s="70">
        <v>417</v>
      </c>
      <c r="AL21" s="72">
        <v>0.17118754055807917</v>
      </c>
      <c r="AM21" s="75">
        <f t="shared" si="11"/>
        <v>5.8164043230638146E-2</v>
      </c>
      <c r="AN21" s="75">
        <f t="shared" si="12"/>
        <v>10.012297113393403</v>
      </c>
      <c r="AO21" s="75">
        <f t="shared" si="13"/>
        <v>8.2925879297254437E-2</v>
      </c>
    </row>
    <row r="22" spans="1:41" ht="14.5">
      <c r="A22" s="47">
        <v>2010</v>
      </c>
      <c r="B22" s="49" t="s">
        <v>150</v>
      </c>
      <c r="C22" s="49" t="s">
        <v>151</v>
      </c>
      <c r="D22" s="49" t="s">
        <v>105</v>
      </c>
      <c r="E22" s="47">
        <v>7253</v>
      </c>
      <c r="F22" s="47">
        <v>25663</v>
      </c>
      <c r="G22" s="47">
        <v>1402</v>
      </c>
      <c r="H22" s="47">
        <v>493</v>
      </c>
      <c r="I22" s="47">
        <v>4182</v>
      </c>
      <c r="J22" s="47">
        <v>-1419</v>
      </c>
      <c r="K22" s="47">
        <v>4169</v>
      </c>
      <c r="L22" s="47">
        <v>670</v>
      </c>
      <c r="M22" s="47">
        <v>2747</v>
      </c>
      <c r="N22" s="47">
        <v>9947</v>
      </c>
      <c r="O22" s="47">
        <v>3167</v>
      </c>
      <c r="P22" s="47">
        <v>1220</v>
      </c>
      <c r="Q22" s="47">
        <v>0</v>
      </c>
      <c r="R22" s="47">
        <v>9540</v>
      </c>
      <c r="S22" s="47">
        <v>61</v>
      </c>
      <c r="T22" s="51">
        <v>61</v>
      </c>
      <c r="U22" s="47">
        <v>1040</v>
      </c>
      <c r="V22" s="53">
        <v>2277</v>
      </c>
      <c r="W22" s="53">
        <f t="shared" si="1"/>
        <v>37002</v>
      </c>
      <c r="X22" s="58">
        <f t="shared" si="2"/>
        <v>3.2971190746446138E-2</v>
      </c>
      <c r="Y22" s="55">
        <f t="shared" si="3"/>
        <v>30073</v>
      </c>
      <c r="Z22" s="58">
        <f t="shared" si="4"/>
        <v>1.7615580633418275</v>
      </c>
      <c r="AA22" s="60">
        <f t="shared" si="5"/>
        <v>-324</v>
      </c>
      <c r="AB22" s="58">
        <f t="shared" si="6"/>
        <v>1.1592175505591709</v>
      </c>
      <c r="AC22" s="58">
        <f t="shared" si="7"/>
        <v>0.14696016771488471</v>
      </c>
      <c r="AD22" s="58">
        <f t="shared" si="8"/>
        <v>0.1629583446985933</v>
      </c>
      <c r="AE22" s="58">
        <f t="shared" si="9"/>
        <v>0.33197064989517822</v>
      </c>
      <c r="AF22" s="63">
        <v>0</v>
      </c>
      <c r="AG22" s="83">
        <v>0.15487761921769733</v>
      </c>
      <c r="AH22" s="66">
        <f t="shared" si="10"/>
        <v>0.1390616167326173</v>
      </c>
      <c r="AI22" s="68">
        <v>7.2823935091277886E-4</v>
      </c>
      <c r="AJ22" s="68">
        <v>2.5172494929006084E-3</v>
      </c>
      <c r="AK22" s="70">
        <v>485</v>
      </c>
      <c r="AL22" s="72">
        <v>0.19</v>
      </c>
      <c r="AM22" s="75">
        <f t="shared" si="11"/>
        <v>8.872696099442777E-2</v>
      </c>
      <c r="AN22" s="75">
        <f t="shared" si="12"/>
        <v>10.152805544819801</v>
      </c>
      <c r="AO22" s="75">
        <f t="shared" si="13"/>
        <v>0.14774525214365269</v>
      </c>
    </row>
    <row r="23" spans="1:41" ht="14.5">
      <c r="A23" s="47">
        <v>2011</v>
      </c>
      <c r="B23" s="49" t="s">
        <v>150</v>
      </c>
      <c r="C23" s="49" t="s">
        <v>151</v>
      </c>
      <c r="D23" s="49" t="s">
        <v>105</v>
      </c>
      <c r="E23" s="47">
        <v>5388</v>
      </c>
      <c r="F23" s="47">
        <v>27474</v>
      </c>
      <c r="G23" s="47">
        <v>2787</v>
      </c>
      <c r="H23" s="47">
        <v>495</v>
      </c>
      <c r="I23" s="47">
        <v>3624</v>
      </c>
      <c r="J23" s="47">
        <v>-5067</v>
      </c>
      <c r="K23" s="47">
        <v>1874</v>
      </c>
      <c r="L23" s="47">
        <v>632</v>
      </c>
      <c r="M23" s="47">
        <v>3940</v>
      </c>
      <c r="N23" s="47">
        <v>11703</v>
      </c>
      <c r="O23" s="47">
        <v>3584</v>
      </c>
      <c r="P23" s="47">
        <v>1051</v>
      </c>
      <c r="Q23" s="47">
        <v>0</v>
      </c>
      <c r="R23" s="47">
        <v>10358</v>
      </c>
      <c r="S23" s="47">
        <v>60</v>
      </c>
      <c r="T23" s="51">
        <v>60</v>
      </c>
      <c r="U23" s="47">
        <v>1040</v>
      </c>
      <c r="V23" s="53">
        <v>366</v>
      </c>
      <c r="W23" s="53">
        <f t="shared" si="1"/>
        <v>37264</v>
      </c>
      <c r="X23" s="58">
        <f t="shared" si="2"/>
        <v>2.8204164877629886E-2</v>
      </c>
      <c r="Y23" s="55">
        <f t="shared" si="3"/>
        <v>29700</v>
      </c>
      <c r="Z23" s="58">
        <f t="shared" si="4"/>
        <v>0.63604060913705585</v>
      </c>
      <c r="AA23" s="60">
        <f t="shared" si="5"/>
        <v>2176</v>
      </c>
      <c r="AB23" s="58">
        <f t="shared" si="6"/>
        <v>1.1602242119822377</v>
      </c>
      <c r="AC23" s="58">
        <f t="shared" si="7"/>
        <v>0.26906738752654952</v>
      </c>
      <c r="AD23" s="58">
        <f t="shared" si="8"/>
        <v>0.13190652981000217</v>
      </c>
      <c r="AE23" s="58">
        <f t="shared" si="9"/>
        <v>0.34601274377292912</v>
      </c>
      <c r="AF23" s="63">
        <v>0</v>
      </c>
      <c r="AG23" s="83">
        <v>0.1974591873251211</v>
      </c>
      <c r="AH23" s="66">
        <f t="shared" si="10"/>
        <v>0.12202020202020201</v>
      </c>
      <c r="AI23" s="68">
        <v>1.0638545454545454E-3</v>
      </c>
      <c r="AJ23" s="68">
        <v>2.8909979797979799E-3</v>
      </c>
      <c r="AK23" s="70">
        <v>591</v>
      </c>
      <c r="AL23" s="72">
        <v>0.12</v>
      </c>
      <c r="AM23" s="75">
        <f t="shared" si="11"/>
        <v>1.3321685957632671E-2</v>
      </c>
      <c r="AN23" s="75">
        <f t="shared" si="12"/>
        <v>10.220995381885151</v>
      </c>
      <c r="AO23" s="75">
        <f t="shared" si="13"/>
        <v>0.14861327263248825</v>
      </c>
    </row>
    <row r="24" spans="1:41" ht="14.5">
      <c r="A24" s="47">
        <v>2012</v>
      </c>
      <c r="B24" s="49" t="s">
        <v>150</v>
      </c>
      <c r="C24" s="49" t="s">
        <v>151</v>
      </c>
      <c r="D24" s="49" t="s">
        <v>105</v>
      </c>
      <c r="E24" s="47">
        <v>5945</v>
      </c>
      <c r="F24" s="47">
        <v>29650</v>
      </c>
      <c r="G24" s="47">
        <v>3210</v>
      </c>
      <c r="H24" s="47">
        <v>497</v>
      </c>
      <c r="I24" s="47">
        <v>6288</v>
      </c>
      <c r="J24" s="47">
        <v>-3264</v>
      </c>
      <c r="K24" s="47">
        <v>1659</v>
      </c>
      <c r="L24" s="47">
        <v>970</v>
      </c>
      <c r="M24" s="47">
        <v>3141</v>
      </c>
      <c r="N24" s="47">
        <v>12702</v>
      </c>
      <c r="O24" s="47">
        <v>2372</v>
      </c>
      <c r="P24" s="47">
        <v>741</v>
      </c>
      <c r="Q24" s="47">
        <v>0</v>
      </c>
      <c r="R24" s="47">
        <v>9868</v>
      </c>
      <c r="S24" s="47">
        <v>46</v>
      </c>
      <c r="T24" s="51">
        <v>46</v>
      </c>
      <c r="U24" s="47">
        <v>1040</v>
      </c>
      <c r="V24" s="53">
        <v>1809</v>
      </c>
      <c r="W24" s="53">
        <f t="shared" si="1"/>
        <v>32291</v>
      </c>
      <c r="X24" s="58">
        <f t="shared" si="2"/>
        <v>2.2947570530488372E-2</v>
      </c>
      <c r="Y24" s="55">
        <f t="shared" si="3"/>
        <v>22862</v>
      </c>
      <c r="Z24" s="58">
        <f t="shared" si="4"/>
        <v>0.83699458771092006</v>
      </c>
      <c r="AA24" s="60">
        <f t="shared" si="5"/>
        <v>3484</v>
      </c>
      <c r="AB24" s="58">
        <f t="shared" si="6"/>
        <v>0.88856661045531193</v>
      </c>
      <c r="AC24" s="58">
        <f t="shared" si="7"/>
        <v>0.32529387920551278</v>
      </c>
      <c r="AD24" s="58">
        <f t="shared" si="8"/>
        <v>0.21207419898819563</v>
      </c>
      <c r="AE24" s="58">
        <f t="shared" si="9"/>
        <v>0.24037292257803</v>
      </c>
      <c r="AF24" s="63">
        <v>0</v>
      </c>
      <c r="AG24" s="83">
        <v>0.25525970564902889</v>
      </c>
      <c r="AH24" s="66">
        <f t="shared" si="10"/>
        <v>0.27504155366984517</v>
      </c>
      <c r="AI24" s="68">
        <v>1.2202897384305834E-3</v>
      </c>
      <c r="AJ24" s="68">
        <v>2.4865050301810863E-3</v>
      </c>
      <c r="AK24" s="70">
        <v>677</v>
      </c>
      <c r="AL24" s="72">
        <v>0.08</v>
      </c>
      <c r="AM24" s="75">
        <f t="shared" si="11"/>
        <v>6.1011804384485668E-2</v>
      </c>
      <c r="AN24" s="75">
        <f t="shared" si="12"/>
        <v>10.297217404425872</v>
      </c>
      <c r="AO24" s="75">
        <f t="shared" si="13"/>
        <v>-0.11814566463609912</v>
      </c>
    </row>
    <row r="25" spans="1:41" ht="14.5">
      <c r="A25" s="47">
        <v>2013</v>
      </c>
      <c r="B25" s="49" t="s">
        <v>150</v>
      </c>
      <c r="C25" s="49" t="s">
        <v>151</v>
      </c>
      <c r="D25" s="49" t="s">
        <v>105</v>
      </c>
      <c r="E25" s="47">
        <v>4874</v>
      </c>
      <c r="F25" s="47">
        <v>24764</v>
      </c>
      <c r="G25" s="47">
        <v>1900</v>
      </c>
      <c r="H25" s="47">
        <v>498</v>
      </c>
      <c r="I25" s="47">
        <v>6145</v>
      </c>
      <c r="J25" s="47">
        <v>-1313</v>
      </c>
      <c r="K25" s="47">
        <v>1633</v>
      </c>
      <c r="L25" s="47">
        <v>612</v>
      </c>
      <c r="M25" s="47">
        <v>2740</v>
      </c>
      <c r="N25" s="47">
        <v>11700</v>
      </c>
      <c r="O25" s="47">
        <v>1543</v>
      </c>
      <c r="P25" s="47">
        <v>875</v>
      </c>
      <c r="Q25" s="47">
        <v>0</v>
      </c>
      <c r="R25" s="47">
        <v>8322</v>
      </c>
      <c r="S25" s="47">
        <v>23</v>
      </c>
      <c r="T25" s="51">
        <v>23</v>
      </c>
      <c r="U25" s="47">
        <v>1040</v>
      </c>
      <c r="V25" s="53">
        <v>-2462</v>
      </c>
      <c r="W25" s="53">
        <f t="shared" si="1"/>
        <v>20339</v>
      </c>
      <c r="X25" s="58">
        <f t="shared" si="2"/>
        <v>4.3020797482668766E-2</v>
      </c>
      <c r="Y25" s="55">
        <f t="shared" si="3"/>
        <v>11454</v>
      </c>
      <c r="Z25" s="58">
        <f t="shared" si="4"/>
        <v>0.81934306569343063</v>
      </c>
      <c r="AA25" s="60">
        <f t="shared" si="5"/>
        <v>4011</v>
      </c>
      <c r="AB25" s="58">
        <f t="shared" si="6"/>
        <v>0.6244952350185754</v>
      </c>
      <c r="AC25" s="58">
        <f t="shared" si="7"/>
        <v>0.22831050228310501</v>
      </c>
      <c r="AD25" s="58">
        <f t="shared" si="8"/>
        <v>0.24814246486835728</v>
      </c>
      <c r="AE25" s="58">
        <f t="shared" si="9"/>
        <v>0.18541216053833212</v>
      </c>
      <c r="AF25" s="63">
        <v>0</v>
      </c>
      <c r="AG25" s="83">
        <v>0.24108341351868118</v>
      </c>
      <c r="AH25" s="66">
        <f t="shared" si="10"/>
        <v>0.53649380129212498</v>
      </c>
      <c r="AI25" s="68">
        <v>9.9057831325301206E-4</v>
      </c>
      <c r="AJ25" s="68">
        <v>1.0639558232931727E-3</v>
      </c>
      <c r="AK25" s="70">
        <v>761</v>
      </c>
      <c r="AL25" s="72">
        <v>0.08</v>
      </c>
      <c r="AM25" s="75">
        <f t="shared" si="11"/>
        <v>-9.9418510741398805E-2</v>
      </c>
      <c r="AN25" s="75">
        <f t="shared" si="12"/>
        <v>10.117146264639123</v>
      </c>
      <c r="AO25" s="75">
        <f t="shared" si="13"/>
        <v>-0.47081157951995267</v>
      </c>
    </row>
    <row r="26" spans="1:41" ht="14.5">
      <c r="A26" s="47">
        <v>2014</v>
      </c>
      <c r="B26" s="49" t="s">
        <v>150</v>
      </c>
      <c r="C26" s="49" t="s">
        <v>151</v>
      </c>
      <c r="D26" s="49" t="s">
        <v>105</v>
      </c>
      <c r="E26" s="47">
        <v>5439</v>
      </c>
      <c r="F26" s="47">
        <v>24916</v>
      </c>
      <c r="G26" s="47">
        <v>1110</v>
      </c>
      <c r="H26" s="47">
        <v>499</v>
      </c>
      <c r="I26" s="47">
        <v>6480</v>
      </c>
      <c r="J26" s="47">
        <v>-507</v>
      </c>
      <c r="K26" s="47">
        <v>2476</v>
      </c>
      <c r="L26" s="47">
        <v>600</v>
      </c>
      <c r="M26" s="47">
        <v>2198</v>
      </c>
      <c r="N26" s="47">
        <v>11827</v>
      </c>
      <c r="O26" s="47">
        <v>1438</v>
      </c>
      <c r="P26" s="47">
        <v>1096</v>
      </c>
      <c r="Q26" s="47">
        <v>0</v>
      </c>
      <c r="R26" s="47">
        <v>7292</v>
      </c>
      <c r="S26" s="47">
        <v>19</v>
      </c>
      <c r="T26" s="51">
        <v>19</v>
      </c>
      <c r="U26" s="47">
        <v>1040</v>
      </c>
      <c r="V26" s="53">
        <v>508</v>
      </c>
      <c r="W26" s="53">
        <f t="shared" si="1"/>
        <v>18159</v>
      </c>
      <c r="X26" s="58">
        <f t="shared" si="2"/>
        <v>6.0355746461809572E-2</v>
      </c>
      <c r="Y26" s="55">
        <f t="shared" si="3"/>
        <v>9481</v>
      </c>
      <c r="Z26" s="58">
        <f t="shared" si="4"/>
        <v>1.3994540491355778</v>
      </c>
      <c r="AA26" s="60">
        <f t="shared" si="5"/>
        <v>3239</v>
      </c>
      <c r="AB26" s="58">
        <f t="shared" si="6"/>
        <v>0.51051533151388662</v>
      </c>
      <c r="AC26" s="58">
        <f t="shared" si="7"/>
        <v>0.15222161272627538</v>
      </c>
      <c r="AD26" s="58">
        <f t="shared" si="8"/>
        <v>0.26007384812971585</v>
      </c>
      <c r="AE26" s="58">
        <f t="shared" si="9"/>
        <v>0.19720241360394952</v>
      </c>
      <c r="AF26" s="63">
        <v>0</v>
      </c>
      <c r="AG26" s="83">
        <v>0.24940987385552044</v>
      </c>
      <c r="AH26" s="66">
        <f t="shared" si="10"/>
        <v>0.68347220757304084</v>
      </c>
      <c r="AI26" s="68">
        <v>5.4784769539078159E-4</v>
      </c>
      <c r="AJ26" s="68">
        <v>4.4760521042084167E-4</v>
      </c>
      <c r="AK26" s="70">
        <v>706</v>
      </c>
      <c r="AL26" s="72">
        <v>0.1</v>
      </c>
      <c r="AM26" s="75">
        <f t="shared" si="11"/>
        <v>2.0388505378070316E-2</v>
      </c>
      <c r="AN26" s="75">
        <f t="shared" si="12"/>
        <v>10.123265446374036</v>
      </c>
      <c r="AO26" s="75">
        <f t="shared" si="13"/>
        <v>-0.67233460947992307</v>
      </c>
    </row>
    <row r="27" spans="1:41" ht="14.5">
      <c r="A27" s="47">
        <v>2015</v>
      </c>
      <c r="B27" s="49" t="s">
        <v>150</v>
      </c>
      <c r="C27" s="49" t="s">
        <v>151</v>
      </c>
      <c r="D27" s="49" t="s">
        <v>105</v>
      </c>
      <c r="E27" s="47">
        <v>4983</v>
      </c>
      <c r="F27" s="47">
        <v>25182</v>
      </c>
      <c r="G27" s="47">
        <v>1401</v>
      </c>
      <c r="H27" s="47">
        <v>530</v>
      </c>
      <c r="I27" s="47">
        <v>6087</v>
      </c>
      <c r="J27" s="47">
        <v>-2041</v>
      </c>
      <c r="K27" s="47">
        <v>2816</v>
      </c>
      <c r="L27" s="47">
        <v>445</v>
      </c>
      <c r="M27" s="47">
        <v>1416</v>
      </c>
      <c r="N27" s="47">
        <v>10890</v>
      </c>
      <c r="O27" s="47">
        <v>2145</v>
      </c>
      <c r="P27" s="47">
        <v>1521</v>
      </c>
      <c r="Q27" s="47">
        <v>0</v>
      </c>
      <c r="R27" s="47">
        <v>7729</v>
      </c>
      <c r="S27" s="47">
        <v>18</v>
      </c>
      <c r="T27" s="51">
        <v>18</v>
      </c>
      <c r="U27" s="47">
        <v>1040</v>
      </c>
      <c r="V27" s="53">
        <v>220</v>
      </c>
      <c r="W27" s="53">
        <f t="shared" si="1"/>
        <v>17043</v>
      </c>
      <c r="X27" s="58">
        <f t="shared" si="2"/>
        <v>8.924485125858124E-2</v>
      </c>
      <c r="Y27" s="55">
        <f t="shared" si="3"/>
        <v>9540</v>
      </c>
      <c r="Z27" s="58">
        <f t="shared" si="4"/>
        <v>2.3029661016949152</v>
      </c>
      <c r="AA27" s="60">
        <f t="shared" si="5"/>
        <v>2520</v>
      </c>
      <c r="AB27" s="58">
        <f t="shared" si="6"/>
        <v>0.47891350964974982</v>
      </c>
      <c r="AC27" s="58">
        <f t="shared" si="7"/>
        <v>0.18126536421270539</v>
      </c>
      <c r="AD27" s="58">
        <f t="shared" si="8"/>
        <v>0.24172027638789612</v>
      </c>
      <c r="AE27" s="58">
        <f t="shared" si="9"/>
        <v>0.27752620002587658</v>
      </c>
      <c r="AF27" s="63">
        <v>0</v>
      </c>
      <c r="AG27" s="83">
        <v>0.16009095822751371</v>
      </c>
      <c r="AH27" s="66">
        <f t="shared" si="10"/>
        <v>0.63805031446540883</v>
      </c>
      <c r="AI27" s="68">
        <v>1.0786754716981132E-3</v>
      </c>
      <c r="AJ27" s="68">
        <v>4.1434905660377359E-4</v>
      </c>
      <c r="AK27" s="70">
        <v>633</v>
      </c>
      <c r="AL27" s="72">
        <v>0.16</v>
      </c>
      <c r="AM27" s="75">
        <f t="shared" si="11"/>
        <v>8.7363990151695659E-3</v>
      </c>
      <c r="AN27" s="75">
        <f t="shared" si="12"/>
        <v>10.133884732561645</v>
      </c>
      <c r="AO27" s="75">
        <f t="shared" si="13"/>
        <v>-0.73623526228046943</v>
      </c>
    </row>
    <row r="28" spans="1:41" ht="14.5">
      <c r="A28" s="47">
        <v>2016</v>
      </c>
      <c r="B28" s="49" t="s">
        <v>150</v>
      </c>
      <c r="C28" s="49" t="s">
        <v>151</v>
      </c>
      <c r="D28" s="49" t="s">
        <v>105</v>
      </c>
      <c r="E28" s="47">
        <v>4677</v>
      </c>
      <c r="F28" s="47">
        <v>21031</v>
      </c>
      <c r="G28" s="47">
        <v>1133</v>
      </c>
      <c r="H28" s="47">
        <v>530</v>
      </c>
      <c r="I28" s="47">
        <v>4049</v>
      </c>
      <c r="J28" s="47">
        <v>-80</v>
      </c>
      <c r="K28" s="47">
        <v>2812</v>
      </c>
      <c r="L28" s="47">
        <v>343</v>
      </c>
      <c r="M28" s="47">
        <v>1750</v>
      </c>
      <c r="N28" s="47">
        <v>9157</v>
      </c>
      <c r="O28" s="47">
        <v>2786</v>
      </c>
      <c r="P28" s="47">
        <v>216</v>
      </c>
      <c r="Q28" s="47">
        <v>0</v>
      </c>
      <c r="R28" s="47">
        <v>6711</v>
      </c>
      <c r="S28" s="47">
        <v>34</v>
      </c>
      <c r="T28" s="51">
        <v>34</v>
      </c>
      <c r="U28" s="47">
        <v>1040</v>
      </c>
      <c r="V28" s="53">
        <v>-627</v>
      </c>
      <c r="W28" s="53">
        <f t="shared" si="1"/>
        <v>23819</v>
      </c>
      <c r="X28" s="58">
        <f t="shared" si="2"/>
        <v>9.068390780469374E-3</v>
      </c>
      <c r="Y28" s="55">
        <f t="shared" si="3"/>
        <v>18020</v>
      </c>
      <c r="Z28" s="58">
        <f t="shared" si="4"/>
        <v>1.8028571428571429</v>
      </c>
      <c r="AA28" s="60">
        <f t="shared" si="5"/>
        <v>1122</v>
      </c>
      <c r="AB28" s="58">
        <f t="shared" si="6"/>
        <v>0.91018021016594552</v>
      </c>
      <c r="AC28" s="58">
        <f t="shared" si="7"/>
        <v>0.16882729846520639</v>
      </c>
      <c r="AD28" s="58">
        <f t="shared" si="8"/>
        <v>0.19252531976605963</v>
      </c>
      <c r="AE28" s="58">
        <f t="shared" si="9"/>
        <v>0.41513932349873345</v>
      </c>
      <c r="AF28" s="63">
        <v>0</v>
      </c>
      <c r="AG28" s="83">
        <v>0.14856308195386911</v>
      </c>
      <c r="AH28" s="66">
        <f t="shared" si="10"/>
        <v>0.22469478357380687</v>
      </c>
      <c r="AI28" s="68">
        <v>1.7209226415094341E-3</v>
      </c>
      <c r="AJ28" s="68">
        <v>3.822735849056604E-4</v>
      </c>
      <c r="AK28" s="70">
        <v>682</v>
      </c>
      <c r="AL28" s="72">
        <v>0.04</v>
      </c>
      <c r="AM28" s="75">
        <f t="shared" si="11"/>
        <v>-2.9813132994151489E-2</v>
      </c>
      <c r="AN28" s="75">
        <f t="shared" si="12"/>
        <v>9.9537528186836788</v>
      </c>
      <c r="AO28" s="75">
        <f t="shared" si="13"/>
        <v>-9.4112665927826383E-2</v>
      </c>
    </row>
    <row r="29" spans="1:41" ht="14.5">
      <c r="A29" s="47">
        <v>2017</v>
      </c>
      <c r="B29" s="49" t="s">
        <v>150</v>
      </c>
      <c r="C29" s="49" t="s">
        <v>151</v>
      </c>
      <c r="D29" s="49" t="s">
        <v>105</v>
      </c>
      <c r="E29" s="47">
        <v>5066</v>
      </c>
      <c r="F29" s="47">
        <v>20563</v>
      </c>
      <c r="G29" s="47">
        <v>866</v>
      </c>
      <c r="H29" s="47">
        <v>533</v>
      </c>
      <c r="I29" s="47">
        <v>4061</v>
      </c>
      <c r="J29" s="47">
        <v>-961</v>
      </c>
      <c r="K29" s="47">
        <v>3321</v>
      </c>
      <c r="L29" s="47">
        <v>237</v>
      </c>
      <c r="M29" s="47">
        <v>1395</v>
      </c>
      <c r="N29" s="47">
        <v>8933</v>
      </c>
      <c r="O29" s="47">
        <v>2335</v>
      </c>
      <c r="P29" s="47">
        <v>498</v>
      </c>
      <c r="Q29" s="47">
        <v>0</v>
      </c>
      <c r="R29" s="47">
        <v>7348</v>
      </c>
      <c r="S29" s="47">
        <v>38</v>
      </c>
      <c r="T29" s="51">
        <v>38</v>
      </c>
      <c r="U29" s="47">
        <v>1040</v>
      </c>
      <c r="V29" s="53">
        <v>-98</v>
      </c>
      <c r="W29" s="53">
        <f t="shared" si="1"/>
        <v>25710</v>
      </c>
      <c r="X29" s="58">
        <f t="shared" si="2"/>
        <v>1.9369894982497082E-2</v>
      </c>
      <c r="Y29" s="55">
        <f t="shared" si="3"/>
        <v>20254</v>
      </c>
      <c r="Z29" s="58">
        <f t="shared" si="4"/>
        <v>2.5505376344086024</v>
      </c>
      <c r="AA29" s="60">
        <f t="shared" si="5"/>
        <v>390</v>
      </c>
      <c r="AB29" s="58">
        <f t="shared" si="6"/>
        <v>1.0039391139425182</v>
      </c>
      <c r="AC29" s="58">
        <f t="shared" si="7"/>
        <v>0.11785519869352205</v>
      </c>
      <c r="AD29" s="58">
        <f t="shared" si="8"/>
        <v>0.19749063852550697</v>
      </c>
      <c r="AE29" s="58">
        <f t="shared" si="9"/>
        <v>0.31777354382144801</v>
      </c>
      <c r="AF29" s="63">
        <v>0</v>
      </c>
      <c r="AG29" s="83">
        <v>0.10888101684513939</v>
      </c>
      <c r="AH29" s="66">
        <f t="shared" si="10"/>
        <v>0.20050360422632565</v>
      </c>
      <c r="AI29" s="68">
        <v>1.9465590994371482E-3</v>
      </c>
      <c r="AJ29" s="68">
        <v>3.5385553470919324E-4</v>
      </c>
      <c r="AK29" s="70">
        <v>691</v>
      </c>
      <c r="AL29" s="72">
        <v>0.04</v>
      </c>
      <c r="AM29" s="75">
        <f t="shared" si="11"/>
        <v>-4.7658415600836451E-3</v>
      </c>
      <c r="AN29" s="75">
        <f t="shared" si="12"/>
        <v>9.9312486233215189</v>
      </c>
      <c r="AO29" s="75">
        <f t="shared" si="13"/>
        <v>3.9313759470994743E-3</v>
      </c>
    </row>
    <row r="30" spans="1:41" ht="14.5">
      <c r="A30" s="40">
        <v>2009</v>
      </c>
      <c r="B30" s="41" t="s">
        <v>182</v>
      </c>
      <c r="C30" s="41" t="s">
        <v>183</v>
      </c>
      <c r="D30" s="134" t="s">
        <v>105</v>
      </c>
      <c r="E30" s="40">
        <v>1391</v>
      </c>
      <c r="F30" s="40">
        <v>8013</v>
      </c>
      <c r="G30" s="40">
        <v>481</v>
      </c>
      <c r="H30" s="40">
        <v>696</v>
      </c>
      <c r="I30" s="40">
        <v>515</v>
      </c>
      <c r="J30" s="40">
        <v>-752</v>
      </c>
      <c r="K30" s="91">
        <v>657</v>
      </c>
      <c r="L30" s="91">
        <v>77</v>
      </c>
      <c r="M30" s="40">
        <v>638</v>
      </c>
      <c r="N30" s="40">
        <v>2321</v>
      </c>
      <c r="O30" s="40">
        <v>786</v>
      </c>
      <c r="P30" s="40">
        <v>887</v>
      </c>
      <c r="Q30" s="40">
        <v>0</v>
      </c>
      <c r="R30" s="40">
        <v>2412</v>
      </c>
      <c r="S30" s="136">
        <v>18</v>
      </c>
      <c r="T30" s="91">
        <v>18</v>
      </c>
      <c r="U30" s="40">
        <v>1040</v>
      </c>
      <c r="V30" s="40">
        <v>310</v>
      </c>
      <c r="W30" s="93">
        <f t="shared" si="1"/>
        <v>13681</v>
      </c>
      <c r="X30" s="50">
        <f t="shared" si="2"/>
        <v>6.4834441926759745E-2</v>
      </c>
      <c r="Y30" s="93">
        <f t="shared" si="3"/>
        <v>12528</v>
      </c>
      <c r="Z30" s="50">
        <f t="shared" si="4"/>
        <v>1.1504702194357366</v>
      </c>
      <c r="AA30">
        <f t="shared" si="5"/>
        <v>-238</v>
      </c>
      <c r="AB30" s="50">
        <f t="shared" si="6"/>
        <v>1.5337576438287783</v>
      </c>
      <c r="AC30" s="50">
        <f t="shared" si="7"/>
        <v>0.19941956882255391</v>
      </c>
      <c r="AD30" s="50">
        <f t="shared" si="8"/>
        <v>6.427056033944839E-2</v>
      </c>
      <c r="AE30" s="50">
        <f t="shared" si="9"/>
        <v>0.32587064676616917</v>
      </c>
      <c r="AF30" s="98">
        <v>0.22874318181818182</v>
      </c>
      <c r="AG30" s="98">
        <v>0.17187815664124487</v>
      </c>
      <c r="AH30" s="100">
        <f t="shared" si="10"/>
        <v>4.1107918263090674E-2</v>
      </c>
      <c r="AI30" s="101">
        <v>1.6907155172413793E-3</v>
      </c>
      <c r="AJ30" s="101">
        <v>3.2017313218390803E-3</v>
      </c>
      <c r="AK30" s="102">
        <v>421</v>
      </c>
      <c r="AL30" s="103">
        <v>8.6949131462211351E-2</v>
      </c>
      <c r="AM30" s="75">
        <f t="shared" si="11"/>
        <v>3.8687133408211657E-2</v>
      </c>
      <c r="AN30" s="75">
        <f t="shared" si="12"/>
        <v>8.9888205017780702</v>
      </c>
      <c r="AO30" s="75">
        <f t="shared" si="13"/>
        <v>0.42772070078201002</v>
      </c>
    </row>
    <row r="31" spans="1:41" ht="14.5">
      <c r="A31" s="40">
        <v>2010</v>
      </c>
      <c r="B31" s="41" t="s">
        <v>182</v>
      </c>
      <c r="C31" s="41" t="s">
        <v>183</v>
      </c>
      <c r="D31" s="134" t="s">
        <v>105</v>
      </c>
      <c r="E31" s="40">
        <v>2669</v>
      </c>
      <c r="F31" s="40">
        <v>16397</v>
      </c>
      <c r="G31" s="40">
        <v>564</v>
      </c>
      <c r="H31" s="40">
        <v>1133</v>
      </c>
      <c r="I31" s="40">
        <v>455</v>
      </c>
      <c r="J31" s="40">
        <v>232</v>
      </c>
      <c r="K31" s="91">
        <v>1469</v>
      </c>
      <c r="L31" s="40">
        <v>229</v>
      </c>
      <c r="M31" s="40">
        <v>927</v>
      </c>
      <c r="N31" s="40">
        <v>2798</v>
      </c>
      <c r="O31" s="40">
        <v>968</v>
      </c>
      <c r="P31" s="40">
        <v>1115</v>
      </c>
      <c r="Q31" s="40">
        <v>0</v>
      </c>
      <c r="R31" s="40">
        <v>3010</v>
      </c>
      <c r="S31" s="136">
        <v>19</v>
      </c>
      <c r="T31" s="91">
        <v>19</v>
      </c>
      <c r="U31" s="40">
        <v>1040</v>
      </c>
      <c r="V31" s="40">
        <v>772</v>
      </c>
      <c r="W31" s="93">
        <f t="shared" si="1"/>
        <v>22909</v>
      </c>
      <c r="X31" s="50">
        <f t="shared" si="2"/>
        <v>4.86708280588415E-2</v>
      </c>
      <c r="Y31" s="93">
        <f t="shared" si="3"/>
        <v>21527</v>
      </c>
      <c r="Z31" s="50">
        <f t="shared" si="4"/>
        <v>1.8317152103559871</v>
      </c>
      <c r="AA31">
        <f t="shared" si="5"/>
        <v>-1287</v>
      </c>
      <c r="AB31" s="50">
        <f t="shared" si="6"/>
        <v>1.2343721412453497</v>
      </c>
      <c r="AC31" s="50">
        <f t="shared" si="7"/>
        <v>0.18737541528239202</v>
      </c>
      <c r="AD31" s="50">
        <f t="shared" si="8"/>
        <v>2.7748978471671647E-2</v>
      </c>
      <c r="AE31" s="50">
        <f t="shared" si="9"/>
        <v>0.32159468438538208</v>
      </c>
      <c r="AF31" s="98">
        <v>3.5333333333333335E-2</v>
      </c>
      <c r="AG31" s="98">
        <v>0.13022850502008262</v>
      </c>
      <c r="AH31" s="100">
        <f t="shared" si="10"/>
        <v>2.1136247503135596E-2</v>
      </c>
      <c r="AI31" s="101">
        <v>1.0088296557811121E-3</v>
      </c>
      <c r="AJ31" s="101">
        <v>2.1713662842012356E-3</v>
      </c>
      <c r="AK31" s="102">
        <v>492</v>
      </c>
      <c r="AL31" s="103">
        <v>7.5666386498787416E-2</v>
      </c>
      <c r="AM31" s="75">
        <f t="shared" si="11"/>
        <v>4.7081783253034089E-2</v>
      </c>
      <c r="AN31" s="75">
        <f t="shared" si="12"/>
        <v>9.704853670249868</v>
      </c>
      <c r="AO31" s="75">
        <f t="shared" si="13"/>
        <v>0.21056245315153335</v>
      </c>
    </row>
    <row r="32" spans="1:41" ht="14.5">
      <c r="A32" s="40">
        <v>2011</v>
      </c>
      <c r="B32" s="41" t="s">
        <v>182</v>
      </c>
      <c r="C32" s="41" t="s">
        <v>183</v>
      </c>
      <c r="D32" s="134" t="s">
        <v>105</v>
      </c>
      <c r="E32" s="40">
        <v>3118</v>
      </c>
      <c r="F32" s="40">
        <v>16509</v>
      </c>
      <c r="G32" s="40">
        <v>1652</v>
      </c>
      <c r="H32" s="40">
        <v>1138</v>
      </c>
      <c r="I32" s="40">
        <v>1600</v>
      </c>
      <c r="J32" s="40">
        <v>-1748</v>
      </c>
      <c r="K32" s="91">
        <v>1829</v>
      </c>
      <c r="L32" s="91">
        <v>206</v>
      </c>
      <c r="M32" s="40">
        <v>796</v>
      </c>
      <c r="N32" s="40">
        <v>4038</v>
      </c>
      <c r="O32" s="40">
        <v>1417</v>
      </c>
      <c r="P32" s="40">
        <v>1166</v>
      </c>
      <c r="Q32" s="40">
        <v>0</v>
      </c>
      <c r="R32" s="40">
        <v>3943</v>
      </c>
      <c r="S32" s="136">
        <v>11</v>
      </c>
      <c r="T32" s="91">
        <v>11</v>
      </c>
      <c r="U32" s="40">
        <v>1040</v>
      </c>
      <c r="V32" s="40">
        <v>-2074</v>
      </c>
      <c r="W32" s="93">
        <f t="shared" si="1"/>
        <v>14914</v>
      </c>
      <c r="X32" s="50">
        <f t="shared" si="2"/>
        <v>7.8181574359662068E-2</v>
      </c>
      <c r="Y32" s="93">
        <f t="shared" si="3"/>
        <v>12518</v>
      </c>
      <c r="Z32" s="50">
        <f t="shared" si="4"/>
        <v>2.5565326633165828</v>
      </c>
      <c r="AA32">
        <f t="shared" si="5"/>
        <v>-722</v>
      </c>
      <c r="AB32" s="50">
        <f t="shared" si="6"/>
        <v>0.71451935308013814</v>
      </c>
      <c r="AC32" s="50">
        <f t="shared" si="7"/>
        <v>0.41897032716205934</v>
      </c>
      <c r="AD32" s="50">
        <f t="shared" si="8"/>
        <v>9.6916833242473799E-2</v>
      </c>
      <c r="AE32" s="50">
        <f t="shared" si="9"/>
        <v>0.35937103728125791</v>
      </c>
      <c r="AF32" s="98">
        <v>0</v>
      </c>
      <c r="AG32" s="98">
        <v>0.40527845342046087</v>
      </c>
      <c r="AH32" s="100">
        <f t="shared" si="10"/>
        <v>0.12781594503914365</v>
      </c>
      <c r="AI32" s="101">
        <v>9.8014499121265369E-4</v>
      </c>
      <c r="AJ32" s="101">
        <v>2.5313998242530757E-3</v>
      </c>
      <c r="AK32" s="102">
        <v>592</v>
      </c>
      <c r="AL32" s="103">
        <v>0.10817526437247989</v>
      </c>
      <c r="AM32" s="75">
        <f t="shared" si="11"/>
        <v>-0.12562844509055668</v>
      </c>
      <c r="AN32" s="75">
        <f t="shared" si="12"/>
        <v>9.7116609657278676</v>
      </c>
      <c r="AO32" s="75">
        <f t="shared" si="13"/>
        <v>-0.33614519579270158</v>
      </c>
    </row>
    <row r="33" spans="1:41" ht="14.5">
      <c r="A33" s="40">
        <v>2012</v>
      </c>
      <c r="B33" s="41" t="s">
        <v>182</v>
      </c>
      <c r="C33" s="41" t="s">
        <v>183</v>
      </c>
      <c r="D33" s="134" t="s">
        <v>105</v>
      </c>
      <c r="E33" s="40">
        <v>3601</v>
      </c>
      <c r="F33" s="40">
        <v>14882</v>
      </c>
      <c r="G33" s="40">
        <v>1925</v>
      </c>
      <c r="H33" s="40">
        <v>1140</v>
      </c>
      <c r="I33" s="40">
        <v>2116</v>
      </c>
      <c r="J33" s="40">
        <v>-2163</v>
      </c>
      <c r="K33" s="91">
        <v>2041</v>
      </c>
      <c r="L33" s="91">
        <v>197</v>
      </c>
      <c r="M33" s="40">
        <v>1306</v>
      </c>
      <c r="N33" s="40">
        <v>4957</v>
      </c>
      <c r="O33" s="40">
        <v>1255</v>
      </c>
      <c r="P33" s="91">
        <v>1271</v>
      </c>
      <c r="Q33" s="91">
        <v>0</v>
      </c>
      <c r="R33" s="91">
        <v>4311</v>
      </c>
      <c r="S33" s="136">
        <v>10</v>
      </c>
      <c r="T33" s="91">
        <v>10</v>
      </c>
      <c r="U33" s="40">
        <v>1040</v>
      </c>
      <c r="V33" s="40">
        <v>-2505</v>
      </c>
      <c r="W33" s="138">
        <f t="shared" si="1"/>
        <v>14822</v>
      </c>
      <c r="X33" s="50">
        <f t="shared" si="2"/>
        <v>8.5750910808257988E-2</v>
      </c>
      <c r="Y33" s="93">
        <f t="shared" si="3"/>
        <v>11400</v>
      </c>
      <c r="Z33" s="50">
        <f t="shared" si="4"/>
        <v>1.7136294027565084</v>
      </c>
      <c r="AA33">
        <f t="shared" si="5"/>
        <v>-179</v>
      </c>
      <c r="AB33" s="50">
        <f t="shared" si="6"/>
        <v>0.75399811853245535</v>
      </c>
      <c r="AC33" s="50">
        <f t="shared" si="7"/>
        <v>0.44653212711667828</v>
      </c>
      <c r="AD33" s="50">
        <f t="shared" si="8"/>
        <v>0.14218519016261255</v>
      </c>
      <c r="AE33" s="50">
        <f t="shared" si="9"/>
        <v>0.29111575040593829</v>
      </c>
      <c r="AF33" s="96">
        <v>0</v>
      </c>
      <c r="AG33" s="98">
        <v>0.45577221388909656</v>
      </c>
      <c r="AH33" s="100">
        <f t="shared" si="10"/>
        <v>0.18561403508771929</v>
      </c>
      <c r="AI33" s="101">
        <v>1.109478947368421E-3</v>
      </c>
      <c r="AJ33" s="101">
        <v>3.2367719298245614E-3</v>
      </c>
      <c r="AK33" s="102">
        <v>705</v>
      </c>
      <c r="AL33" s="103">
        <v>7.7430660574291418E-2</v>
      </c>
      <c r="AM33" s="75">
        <f t="shared" si="11"/>
        <v>-0.16832414997984141</v>
      </c>
      <c r="AN33" s="75">
        <f t="shared" si="12"/>
        <v>9.6079077079572066</v>
      </c>
      <c r="AO33" s="75">
        <f t="shared" si="13"/>
        <v>-0.28236540629234025</v>
      </c>
    </row>
    <row r="34" spans="1:41" ht="14.5">
      <c r="A34" s="40">
        <v>2013</v>
      </c>
      <c r="B34" s="41" t="s">
        <v>182</v>
      </c>
      <c r="C34" s="41" t="s">
        <v>183</v>
      </c>
      <c r="D34" s="134" t="s">
        <v>105</v>
      </c>
      <c r="E34" s="40">
        <v>2406</v>
      </c>
      <c r="F34" s="40">
        <v>10287</v>
      </c>
      <c r="G34" s="40">
        <v>1262</v>
      </c>
      <c r="H34" s="40">
        <v>1143</v>
      </c>
      <c r="I34" s="40">
        <v>2060</v>
      </c>
      <c r="J34" s="40">
        <v>-1045</v>
      </c>
      <c r="K34" s="91">
        <v>794</v>
      </c>
      <c r="L34" s="91">
        <v>180</v>
      </c>
      <c r="M34" s="40">
        <v>713</v>
      </c>
      <c r="N34" s="40">
        <v>4197</v>
      </c>
      <c r="O34" s="40">
        <v>775</v>
      </c>
      <c r="P34" s="91">
        <v>1434</v>
      </c>
      <c r="Q34" s="91">
        <v>0</v>
      </c>
      <c r="R34" s="91">
        <v>3780</v>
      </c>
      <c r="S34" s="40">
        <v>4</v>
      </c>
      <c r="T34" s="91">
        <v>4</v>
      </c>
      <c r="U34" s="40">
        <v>1040</v>
      </c>
      <c r="V34" s="40">
        <v>-3743</v>
      </c>
      <c r="W34" s="138">
        <f t="shared" si="1"/>
        <v>7345</v>
      </c>
      <c r="X34" s="50">
        <f t="shared" si="2"/>
        <v>0.1952348536419333</v>
      </c>
      <c r="Y34" s="93">
        <f t="shared" si="3"/>
        <v>4572</v>
      </c>
      <c r="Z34" s="50">
        <f t="shared" si="4"/>
        <v>1.3660589060308554</v>
      </c>
      <c r="AA34">
        <f t="shared" si="5"/>
        <v>367</v>
      </c>
      <c r="AB34" s="50">
        <f t="shared" si="6"/>
        <v>0.48012054048799457</v>
      </c>
      <c r="AC34" s="50">
        <f t="shared" si="7"/>
        <v>0.33386243386243386</v>
      </c>
      <c r="AD34" s="50">
        <f t="shared" si="8"/>
        <v>0.20025274618450473</v>
      </c>
      <c r="AE34" s="50">
        <f t="shared" si="9"/>
        <v>0.20502645502645503</v>
      </c>
      <c r="AF34" s="96">
        <v>0</v>
      </c>
      <c r="AG34" s="98">
        <v>0.20382761194696528</v>
      </c>
      <c r="AH34" s="100">
        <f t="shared" si="10"/>
        <v>0.45056867891513563</v>
      </c>
      <c r="AI34" s="101">
        <v>1.7032344706911636E-3</v>
      </c>
      <c r="AJ34" s="101">
        <v>2.8073560804899389E-3</v>
      </c>
      <c r="AK34" s="102">
        <v>743</v>
      </c>
      <c r="AL34" s="103">
        <v>5.6782534726815714E-2</v>
      </c>
      <c r="AM34" s="75">
        <f t="shared" si="11"/>
        <v>-0.3638572956158258</v>
      </c>
      <c r="AN34" s="75">
        <f t="shared" si="12"/>
        <v>9.2386362411310294</v>
      </c>
      <c r="AO34" s="75">
        <f t="shared" si="13"/>
        <v>-0.73371808059040522</v>
      </c>
    </row>
    <row r="35" spans="1:41" ht="14.5">
      <c r="A35" s="40">
        <v>2014</v>
      </c>
      <c r="B35" s="41" t="s">
        <v>182</v>
      </c>
      <c r="C35" s="41" t="s">
        <v>183</v>
      </c>
      <c r="D35" s="134" t="s">
        <v>105</v>
      </c>
      <c r="E35" s="40">
        <v>2587</v>
      </c>
      <c r="F35" s="40">
        <v>8951</v>
      </c>
      <c r="G35" s="40">
        <v>632</v>
      </c>
      <c r="H35" s="40">
        <v>1145</v>
      </c>
      <c r="I35" s="40">
        <v>1998</v>
      </c>
      <c r="J35" s="40">
        <v>-486</v>
      </c>
      <c r="K35" s="91">
        <v>1025</v>
      </c>
      <c r="L35" s="40">
        <v>193</v>
      </c>
      <c r="M35" s="40">
        <v>604</v>
      </c>
      <c r="N35" s="40">
        <v>4060</v>
      </c>
      <c r="O35" s="40">
        <v>849</v>
      </c>
      <c r="P35" s="91">
        <v>1664</v>
      </c>
      <c r="Q35" s="91">
        <v>0</v>
      </c>
      <c r="R35" s="91">
        <v>3466</v>
      </c>
      <c r="S35" s="40">
        <v>3</v>
      </c>
      <c r="T35" s="91">
        <v>3</v>
      </c>
      <c r="U35" s="40">
        <v>1040</v>
      </c>
      <c r="V35" s="40">
        <v>-1167</v>
      </c>
      <c r="W35" s="138">
        <f t="shared" si="1"/>
        <v>6037</v>
      </c>
      <c r="X35" s="50">
        <f t="shared" si="2"/>
        <v>0.27563359284412786</v>
      </c>
      <c r="Y35" s="93">
        <f t="shared" si="3"/>
        <v>3435</v>
      </c>
      <c r="Z35" s="50">
        <f t="shared" si="4"/>
        <v>2.0165562913907285</v>
      </c>
      <c r="AA35">
        <f t="shared" si="5"/>
        <v>15</v>
      </c>
      <c r="AB35" s="50">
        <f t="shared" si="6"/>
        <v>0.38543179533013072</v>
      </c>
      <c r="AC35" s="50">
        <f t="shared" si="7"/>
        <v>0.18234275822273513</v>
      </c>
      <c r="AD35" s="50">
        <f t="shared" si="8"/>
        <v>0.22321528320858006</v>
      </c>
      <c r="AE35" s="50">
        <f t="shared" si="9"/>
        <v>0.24495095210617426</v>
      </c>
      <c r="AF35" s="96">
        <v>0</v>
      </c>
      <c r="AG35" s="98">
        <v>0.1783027953681981</v>
      </c>
      <c r="AH35" s="100">
        <f t="shared" si="10"/>
        <v>0.58165938864628819</v>
      </c>
      <c r="AI35" s="101">
        <v>2.5576253275109168E-3</v>
      </c>
      <c r="AJ35" s="101">
        <v>3.1711126637554584E-3</v>
      </c>
      <c r="AK35" s="102">
        <v>720</v>
      </c>
      <c r="AL35" s="103">
        <v>2.7084098318091335E-2</v>
      </c>
      <c r="AM35" s="75">
        <f t="shared" si="11"/>
        <v>-0.13037649424645292</v>
      </c>
      <c r="AN35" s="75">
        <f t="shared" si="12"/>
        <v>9.0995205368709389</v>
      </c>
      <c r="AO35" s="75">
        <f t="shared" si="13"/>
        <v>-0.95339102684553345</v>
      </c>
    </row>
    <row r="36" spans="1:41" ht="14.5">
      <c r="A36" s="40">
        <v>2015</v>
      </c>
      <c r="B36" s="41" t="s">
        <v>182</v>
      </c>
      <c r="C36" s="41" t="s">
        <v>183</v>
      </c>
      <c r="D36" s="134" t="s">
        <v>105</v>
      </c>
      <c r="E36" s="40">
        <v>2292</v>
      </c>
      <c r="F36" s="40">
        <v>7735</v>
      </c>
      <c r="G36" s="40">
        <v>610</v>
      </c>
      <c r="H36" s="40">
        <v>1147</v>
      </c>
      <c r="I36" s="40">
        <v>1732</v>
      </c>
      <c r="J36" s="40">
        <v>-632</v>
      </c>
      <c r="K36" s="91">
        <v>1054</v>
      </c>
      <c r="L36" s="91">
        <v>181</v>
      </c>
      <c r="M36" s="40">
        <v>702</v>
      </c>
      <c r="N36" s="40">
        <v>3802</v>
      </c>
      <c r="O36" s="40">
        <v>832</v>
      </c>
      <c r="P36" s="91">
        <v>1732</v>
      </c>
      <c r="Q36" s="91">
        <v>0</v>
      </c>
      <c r="R36" s="91">
        <v>3052</v>
      </c>
      <c r="S36" s="40">
        <v>2</v>
      </c>
      <c r="T36" s="91">
        <v>2</v>
      </c>
      <c r="U36" s="40">
        <v>1040</v>
      </c>
      <c r="V36" s="40">
        <v>-985</v>
      </c>
      <c r="W36" s="138">
        <f t="shared" si="1"/>
        <v>4728</v>
      </c>
      <c r="X36" s="50">
        <f t="shared" si="2"/>
        <v>0.36632825719120138</v>
      </c>
      <c r="Y36" s="93">
        <f t="shared" si="3"/>
        <v>2294</v>
      </c>
      <c r="Z36" s="50">
        <f t="shared" si="4"/>
        <v>1.7592592592592593</v>
      </c>
      <c r="AA36">
        <f t="shared" si="5"/>
        <v>142</v>
      </c>
      <c r="AB36" s="50">
        <f t="shared" si="6"/>
        <v>0.31493212669683257</v>
      </c>
      <c r="AC36" s="50">
        <f t="shared" si="7"/>
        <v>0.1998689384010485</v>
      </c>
      <c r="AD36" s="50">
        <f t="shared" si="8"/>
        <v>0.22391725921137687</v>
      </c>
      <c r="AE36" s="50">
        <f t="shared" si="9"/>
        <v>0.27260812581913502</v>
      </c>
      <c r="AF36" s="96">
        <v>0</v>
      </c>
      <c r="AG36" s="98">
        <v>0.23379804388199102</v>
      </c>
      <c r="AH36" s="100">
        <f t="shared" si="10"/>
        <v>0.75501307759372271</v>
      </c>
      <c r="AI36" s="101">
        <v>4.1159258936355712E-3</v>
      </c>
      <c r="AJ36" s="101">
        <v>4.0036425457715781E-3</v>
      </c>
      <c r="AK36" s="102">
        <v>696</v>
      </c>
      <c r="AL36" s="103">
        <v>2.7593041085118931E-2</v>
      </c>
      <c r="AM36" s="75">
        <f t="shared" si="11"/>
        <v>-0.12734324499030381</v>
      </c>
      <c r="AN36" s="75">
        <f t="shared" si="12"/>
        <v>8.9535107630071664</v>
      </c>
      <c r="AO36" s="75">
        <f t="shared" si="13"/>
        <v>-1.1553981341773789</v>
      </c>
    </row>
    <row r="37" spans="1:41" ht="14.5">
      <c r="A37" s="40">
        <v>2016</v>
      </c>
      <c r="B37" s="41" t="s">
        <v>182</v>
      </c>
      <c r="C37" s="41" t="s">
        <v>183</v>
      </c>
      <c r="D37" s="134" t="s">
        <v>105</v>
      </c>
      <c r="E37" s="40">
        <v>2081</v>
      </c>
      <c r="F37" s="40">
        <v>7979</v>
      </c>
      <c r="G37" s="40">
        <v>634</v>
      </c>
      <c r="H37" s="40">
        <v>1245</v>
      </c>
      <c r="I37" s="40">
        <v>1733</v>
      </c>
      <c r="J37" s="40">
        <v>-1270</v>
      </c>
      <c r="K37" s="91">
        <v>839</v>
      </c>
      <c r="L37" s="91">
        <v>191</v>
      </c>
      <c r="M37" s="40">
        <v>638</v>
      </c>
      <c r="N37" s="40">
        <v>3795</v>
      </c>
      <c r="O37" s="40">
        <v>1099</v>
      </c>
      <c r="P37" s="91">
        <v>1815</v>
      </c>
      <c r="Q37" s="91">
        <v>0</v>
      </c>
      <c r="R37" s="91">
        <v>3472</v>
      </c>
      <c r="S37" s="40">
        <v>3</v>
      </c>
      <c r="T37" s="91">
        <v>3</v>
      </c>
      <c r="U37" s="40">
        <v>1040</v>
      </c>
      <c r="V37" s="40">
        <v>-104</v>
      </c>
      <c r="W37" s="138">
        <f t="shared" si="1"/>
        <v>6106</v>
      </c>
      <c r="X37" s="50">
        <f t="shared" si="2"/>
        <v>0.29724860792662955</v>
      </c>
      <c r="Y37" s="93">
        <f t="shared" si="3"/>
        <v>3735</v>
      </c>
      <c r="Z37" s="50">
        <f t="shared" si="4"/>
        <v>1.6144200626959249</v>
      </c>
      <c r="AA37">
        <f t="shared" si="5"/>
        <v>290</v>
      </c>
      <c r="AB37" s="50">
        <f t="shared" si="6"/>
        <v>0.50444917909512466</v>
      </c>
      <c r="AC37" s="50">
        <f t="shared" si="7"/>
        <v>0.1826036866359447</v>
      </c>
      <c r="AD37" s="50">
        <f t="shared" si="8"/>
        <v>0.2171951372352425</v>
      </c>
      <c r="AE37" s="50">
        <f t="shared" si="9"/>
        <v>0.31653225806451613</v>
      </c>
      <c r="AF37" s="96">
        <v>0</v>
      </c>
      <c r="AG37" s="98">
        <v>0.62018410675021551</v>
      </c>
      <c r="AH37" s="100">
        <f t="shared" si="10"/>
        <v>0.46398929049531457</v>
      </c>
      <c r="AI37" s="101">
        <v>4.3337566265060244E-3</v>
      </c>
      <c r="AJ37" s="101">
        <v>4.0917606425702815E-3</v>
      </c>
      <c r="AK37" s="102">
        <v>712</v>
      </c>
      <c r="AL37" s="103">
        <v>2.9241419930875579E-2</v>
      </c>
      <c r="AM37" s="75">
        <f t="shared" si="11"/>
        <v>-1.3034214813886452E-2</v>
      </c>
      <c r="AN37" s="75">
        <f t="shared" si="12"/>
        <v>8.9845683693082812</v>
      </c>
      <c r="AO37" s="75">
        <f t="shared" si="13"/>
        <v>-0.68428817945561726</v>
      </c>
    </row>
    <row r="38" spans="1:41" ht="14.5">
      <c r="A38" s="40">
        <v>2017</v>
      </c>
      <c r="B38" s="41" t="s">
        <v>182</v>
      </c>
      <c r="C38" s="41" t="s">
        <v>183</v>
      </c>
      <c r="D38" s="134" t="s">
        <v>105</v>
      </c>
      <c r="E38" s="40">
        <v>2284</v>
      </c>
      <c r="F38" s="40">
        <v>8157</v>
      </c>
      <c r="G38" s="40">
        <v>898</v>
      </c>
      <c r="H38" s="40">
        <v>1247</v>
      </c>
      <c r="I38" s="40">
        <v>1733</v>
      </c>
      <c r="J38" s="40">
        <v>-687</v>
      </c>
      <c r="K38" s="91">
        <v>1038</v>
      </c>
      <c r="L38" s="91">
        <v>85</v>
      </c>
      <c r="M38" s="40">
        <v>585</v>
      </c>
      <c r="N38" s="40">
        <v>3538</v>
      </c>
      <c r="O38" s="40">
        <v>952</v>
      </c>
      <c r="P38" s="91">
        <v>1100</v>
      </c>
      <c r="Q38" s="91">
        <v>0</v>
      </c>
      <c r="R38" s="91">
        <v>3303</v>
      </c>
      <c r="S38" s="40">
        <v>4</v>
      </c>
      <c r="T38" s="91">
        <v>4</v>
      </c>
      <c r="U38" s="40">
        <v>1040</v>
      </c>
      <c r="V38" s="40">
        <v>445</v>
      </c>
      <c r="W38" s="138">
        <f t="shared" si="1"/>
        <v>7306</v>
      </c>
      <c r="X38" s="50">
        <f t="shared" si="2"/>
        <v>0.15056118258965234</v>
      </c>
      <c r="Y38" s="93">
        <f t="shared" si="3"/>
        <v>4988</v>
      </c>
      <c r="Z38" s="50">
        <f t="shared" si="4"/>
        <v>1.9196581196581197</v>
      </c>
      <c r="AA38">
        <f t="shared" si="5"/>
        <v>34</v>
      </c>
      <c r="AB38" s="50">
        <f t="shared" si="6"/>
        <v>0.6156675248253034</v>
      </c>
      <c r="AC38" s="50">
        <f t="shared" si="7"/>
        <v>0.27187405389040264</v>
      </c>
      <c r="AD38" s="50">
        <f t="shared" si="8"/>
        <v>0.21245555964202525</v>
      </c>
      <c r="AE38" s="50">
        <f t="shared" si="9"/>
        <v>0.28822282773236452</v>
      </c>
      <c r="AF38" s="96">
        <v>0</v>
      </c>
      <c r="AG38" s="98">
        <v>0.72458382169037672</v>
      </c>
      <c r="AH38" s="100">
        <f t="shared" si="10"/>
        <v>0.3474338412189254</v>
      </c>
      <c r="AI38" s="101">
        <v>4.6829117882919002E-3</v>
      </c>
      <c r="AJ38" s="101">
        <v>4.8592782678428224E-3</v>
      </c>
      <c r="AK38" s="102">
        <v>682</v>
      </c>
      <c r="AL38" s="103">
        <v>2.6139891008174387E-2</v>
      </c>
      <c r="AM38" s="75">
        <f t="shared" si="11"/>
        <v>5.4554370479342897E-2</v>
      </c>
      <c r="AN38" s="75">
        <f t="shared" si="12"/>
        <v>9.0066317333005799</v>
      </c>
      <c r="AO38" s="75">
        <f t="shared" si="13"/>
        <v>-0.48504819358305012</v>
      </c>
    </row>
    <row r="39" spans="1:41" ht="14.5">
      <c r="A39" s="47">
        <v>2009</v>
      </c>
      <c r="B39" s="49" t="s">
        <v>208</v>
      </c>
      <c r="C39" s="49" t="s">
        <v>209</v>
      </c>
      <c r="D39" s="49" t="s">
        <v>105</v>
      </c>
      <c r="E39" s="47">
        <v>1602</v>
      </c>
      <c r="F39" s="47">
        <v>20949</v>
      </c>
      <c r="G39" s="51">
        <v>1015</v>
      </c>
      <c r="H39" s="51">
        <v>734</v>
      </c>
      <c r="I39" s="47">
        <v>719</v>
      </c>
      <c r="J39" s="47">
        <v>-1459</v>
      </c>
      <c r="K39" s="47">
        <v>900</v>
      </c>
      <c r="L39" s="47">
        <v>317</v>
      </c>
      <c r="M39" s="47">
        <v>735</v>
      </c>
      <c r="N39" s="47">
        <v>5404</v>
      </c>
      <c r="O39" s="47">
        <v>1270</v>
      </c>
      <c r="P39" s="47">
        <v>0</v>
      </c>
      <c r="Q39" s="47">
        <v>0</v>
      </c>
      <c r="R39" s="47">
        <v>2724</v>
      </c>
      <c r="S39" s="47">
        <v>39</v>
      </c>
      <c r="T39" s="51">
        <v>39</v>
      </c>
      <c r="U39" s="47">
        <v>1040</v>
      </c>
      <c r="V39" s="53">
        <v>240</v>
      </c>
      <c r="W39" s="53">
        <f t="shared" si="1"/>
        <v>30080</v>
      </c>
      <c r="X39" s="58">
        <f t="shared" si="2"/>
        <v>0</v>
      </c>
      <c r="Y39" s="55">
        <f t="shared" si="3"/>
        <v>28626</v>
      </c>
      <c r="Z39" s="58">
        <f t="shared" si="4"/>
        <v>1.6557823129251701</v>
      </c>
      <c r="AA39" s="60">
        <f t="shared" si="5"/>
        <v>-148</v>
      </c>
      <c r="AB39" s="58">
        <f t="shared" si="6"/>
        <v>1.3593966299107356</v>
      </c>
      <c r="AC39" s="58">
        <f t="shared" si="7"/>
        <v>0.37261380323054333</v>
      </c>
      <c r="AD39" s="58">
        <f t="shared" si="8"/>
        <v>3.4321447324454628E-2</v>
      </c>
      <c r="AE39" s="58">
        <f t="shared" si="9"/>
        <v>0.46622613803230545</v>
      </c>
      <c r="AF39" s="63">
        <v>0</v>
      </c>
      <c r="AG39" s="83">
        <v>4.2386728790173377E-2</v>
      </c>
      <c r="AH39" s="66">
        <f t="shared" si="10"/>
        <v>2.51170264794243E-2</v>
      </c>
      <c r="AI39" s="68">
        <v>9.1635558583106269E-4</v>
      </c>
      <c r="AJ39" s="68">
        <v>2.4501634877384195E-3</v>
      </c>
      <c r="AK39" s="70">
        <v>403</v>
      </c>
      <c r="AL39" s="72">
        <v>0.15712314583639297</v>
      </c>
      <c r="AM39" s="75">
        <f t="shared" si="11"/>
        <v>1.1456394099957039E-2</v>
      </c>
      <c r="AN39" s="75">
        <f t="shared" si="12"/>
        <v>9.9498461915141458</v>
      </c>
      <c r="AO39" s="75">
        <f t="shared" si="13"/>
        <v>0.30704094682679495</v>
      </c>
    </row>
    <row r="40" spans="1:41" ht="14.5">
      <c r="A40" s="47">
        <v>2010</v>
      </c>
      <c r="B40" s="49" t="s">
        <v>208</v>
      </c>
      <c r="C40" s="49" t="s">
        <v>209</v>
      </c>
      <c r="D40" s="49" t="s">
        <v>105</v>
      </c>
      <c r="E40" s="47">
        <v>1622</v>
      </c>
      <c r="F40" s="47">
        <v>28809</v>
      </c>
      <c r="G40" s="51">
        <v>1186</v>
      </c>
      <c r="H40" s="51">
        <v>798</v>
      </c>
      <c r="I40" s="47">
        <v>747</v>
      </c>
      <c r="J40" s="47">
        <v>-2079</v>
      </c>
      <c r="K40" s="47">
        <v>596</v>
      </c>
      <c r="L40" s="47">
        <v>547</v>
      </c>
      <c r="M40" s="47">
        <v>1034</v>
      </c>
      <c r="N40" s="47">
        <v>8402</v>
      </c>
      <c r="O40" s="47">
        <v>1772</v>
      </c>
      <c r="P40" s="47">
        <v>0</v>
      </c>
      <c r="Q40" s="47">
        <v>0</v>
      </c>
      <c r="R40" s="47">
        <v>3800</v>
      </c>
      <c r="S40" s="47">
        <v>46</v>
      </c>
      <c r="T40" s="51">
        <v>46</v>
      </c>
      <c r="U40" s="47">
        <v>1040</v>
      </c>
      <c r="V40" s="53">
        <v>1574</v>
      </c>
      <c r="W40" s="53">
        <f t="shared" si="1"/>
        <v>38489</v>
      </c>
      <c r="X40" s="58">
        <f t="shared" si="2"/>
        <v>0</v>
      </c>
      <c r="Y40" s="55">
        <f t="shared" si="3"/>
        <v>36708</v>
      </c>
      <c r="Z40" s="58">
        <f t="shared" si="4"/>
        <v>1.1054158607350097</v>
      </c>
      <c r="AA40" s="60">
        <f t="shared" si="5"/>
        <v>159</v>
      </c>
      <c r="AB40" s="58">
        <f t="shared" si="6"/>
        <v>1.2797042590857024</v>
      </c>
      <c r="AC40" s="58">
        <f t="shared" si="7"/>
        <v>0.31210526315789472</v>
      </c>
      <c r="AD40" s="58">
        <f t="shared" si="8"/>
        <v>2.5929397063417681E-2</v>
      </c>
      <c r="AE40" s="58">
        <f t="shared" si="9"/>
        <v>0.46631578947368418</v>
      </c>
      <c r="AF40" s="63">
        <v>0</v>
      </c>
      <c r="AG40" s="63">
        <v>0</v>
      </c>
      <c r="AH40" s="66">
        <f t="shared" si="10"/>
        <v>2.0349787512258907E-2</v>
      </c>
      <c r="AI40" s="68">
        <v>9.5636967418546363E-4</v>
      </c>
      <c r="AJ40" s="68">
        <v>2.382606516290727E-3</v>
      </c>
      <c r="AK40" s="70">
        <v>447</v>
      </c>
      <c r="AL40" s="72">
        <v>0.17754302858045157</v>
      </c>
      <c r="AM40" s="75">
        <f t="shared" si="11"/>
        <v>5.46357041202402E-2</v>
      </c>
      <c r="AN40" s="75">
        <f t="shared" si="12"/>
        <v>10.268443117306083</v>
      </c>
      <c r="AO40" s="75">
        <f t="shared" si="13"/>
        <v>0.24662900364662449</v>
      </c>
    </row>
    <row r="41" spans="1:41" ht="14.5">
      <c r="A41" s="47">
        <v>2011</v>
      </c>
      <c r="B41" s="49" t="s">
        <v>208</v>
      </c>
      <c r="C41" s="49" t="s">
        <v>209</v>
      </c>
      <c r="D41" s="49" t="s">
        <v>105</v>
      </c>
      <c r="E41" s="47">
        <v>2950</v>
      </c>
      <c r="F41" s="47">
        <v>29374</v>
      </c>
      <c r="G41" s="51">
        <v>1677</v>
      </c>
      <c r="H41" s="51">
        <v>810</v>
      </c>
      <c r="I41" s="47">
        <v>737</v>
      </c>
      <c r="J41" s="47">
        <v>-1566</v>
      </c>
      <c r="K41" s="47">
        <v>1789</v>
      </c>
      <c r="L41" s="47">
        <v>523</v>
      </c>
      <c r="M41" s="47">
        <v>771</v>
      </c>
      <c r="N41" s="47">
        <v>7889</v>
      </c>
      <c r="O41" s="47">
        <v>2366</v>
      </c>
      <c r="P41" s="47">
        <v>0</v>
      </c>
      <c r="Q41" s="47">
        <v>0</v>
      </c>
      <c r="R41" s="47">
        <v>5362</v>
      </c>
      <c r="S41" s="47">
        <v>44</v>
      </c>
      <c r="T41" s="51">
        <v>44</v>
      </c>
      <c r="U41" s="47">
        <v>1040</v>
      </c>
      <c r="V41" s="53">
        <v>1881</v>
      </c>
      <c r="W41" s="53">
        <f t="shared" si="1"/>
        <v>37148</v>
      </c>
      <c r="X41" s="58">
        <f t="shared" si="2"/>
        <v>0</v>
      </c>
      <c r="Y41" s="55">
        <f t="shared" si="3"/>
        <v>35640</v>
      </c>
      <c r="Z41" s="58">
        <f t="shared" si="4"/>
        <v>2.9987029831387808</v>
      </c>
      <c r="AA41" s="60">
        <f t="shared" si="5"/>
        <v>-1442</v>
      </c>
      <c r="AB41" s="58">
        <f t="shared" si="6"/>
        <v>1.1642268672976102</v>
      </c>
      <c r="AC41" s="58">
        <f t="shared" si="7"/>
        <v>0.31275643416635585</v>
      </c>
      <c r="AD41" s="58">
        <f t="shared" si="8"/>
        <v>2.5090215837134881E-2</v>
      </c>
      <c r="AE41" s="58">
        <f t="shared" si="9"/>
        <v>0.44125326370757179</v>
      </c>
      <c r="AF41" s="63">
        <v>0</v>
      </c>
      <c r="AG41" s="63">
        <v>0</v>
      </c>
      <c r="AH41" s="66">
        <f t="shared" si="10"/>
        <v>2.0679012345679013E-2</v>
      </c>
      <c r="AI41" s="68">
        <v>1.0292308641975309E-3</v>
      </c>
      <c r="AJ41" s="68">
        <v>2.5740740740740741E-3</v>
      </c>
      <c r="AK41" s="70">
        <v>534</v>
      </c>
      <c r="AL41" s="72">
        <v>0.27042148452070125</v>
      </c>
      <c r="AM41" s="75">
        <f t="shared" si="11"/>
        <v>6.4036222509702465E-2</v>
      </c>
      <c r="AN41" s="75">
        <f t="shared" si="12"/>
        <v>10.287865208313807</v>
      </c>
      <c r="AO41" s="75">
        <f t="shared" si="13"/>
        <v>0.15205723349473055</v>
      </c>
    </row>
    <row r="42" spans="1:41" ht="14.5">
      <c r="A42" s="47">
        <v>2012</v>
      </c>
      <c r="B42" s="49" t="s">
        <v>208</v>
      </c>
      <c r="C42" s="49" t="s">
        <v>209</v>
      </c>
      <c r="D42" s="49" t="s">
        <v>105</v>
      </c>
      <c r="E42" s="47">
        <v>2528</v>
      </c>
      <c r="F42" s="47">
        <v>31212</v>
      </c>
      <c r="G42" s="47">
        <v>2333</v>
      </c>
      <c r="H42" s="47">
        <v>812</v>
      </c>
      <c r="I42" s="47">
        <v>783</v>
      </c>
      <c r="J42" s="47">
        <v>-2286</v>
      </c>
      <c r="K42" s="47">
        <v>930</v>
      </c>
      <c r="L42" s="47">
        <v>788</v>
      </c>
      <c r="M42" s="47">
        <v>1175</v>
      </c>
      <c r="N42" s="47">
        <v>8283</v>
      </c>
      <c r="O42" s="47">
        <v>2097</v>
      </c>
      <c r="P42" s="47">
        <v>0</v>
      </c>
      <c r="Q42" s="47">
        <v>0</v>
      </c>
      <c r="R42" s="47">
        <v>5435</v>
      </c>
      <c r="S42" s="47">
        <v>37</v>
      </c>
      <c r="T42" s="51">
        <v>37</v>
      </c>
      <c r="U42" s="47">
        <v>1040</v>
      </c>
      <c r="V42" s="53">
        <v>1749</v>
      </c>
      <c r="W42" s="53">
        <f t="shared" si="1"/>
        <v>32002</v>
      </c>
      <c r="X42" s="58">
        <f t="shared" si="2"/>
        <v>0</v>
      </c>
      <c r="Y42" s="55">
        <f t="shared" si="3"/>
        <v>30044</v>
      </c>
      <c r="Z42" s="58">
        <f t="shared" si="4"/>
        <v>1.4621276595744681</v>
      </c>
      <c r="AA42" s="60">
        <f t="shared" si="5"/>
        <v>-570</v>
      </c>
      <c r="AB42" s="58">
        <f t="shared" si="6"/>
        <v>0.94431628860694605</v>
      </c>
      <c r="AC42" s="58">
        <f t="shared" si="7"/>
        <v>0.42925482980680774</v>
      </c>
      <c r="AD42" s="58">
        <f t="shared" si="8"/>
        <v>2.5086505190311418E-2</v>
      </c>
      <c r="AE42" s="58">
        <f t="shared" si="9"/>
        <v>0.38583256669733212</v>
      </c>
      <c r="AF42" s="63">
        <v>0</v>
      </c>
      <c r="AG42" s="63">
        <v>0</v>
      </c>
      <c r="AH42" s="66">
        <f t="shared" si="10"/>
        <v>2.6061776061776062E-2</v>
      </c>
      <c r="AI42" s="68">
        <v>9.8203078817733986E-4</v>
      </c>
      <c r="AJ42" s="68">
        <v>2.8535812807881774E-3</v>
      </c>
      <c r="AK42" s="70">
        <v>638</v>
      </c>
      <c r="AL42" s="72">
        <v>0.28095676172953077</v>
      </c>
      <c r="AM42" s="75">
        <f t="shared" si="11"/>
        <v>5.6036139946174547E-2</v>
      </c>
      <c r="AN42" s="75">
        <f t="shared" si="12"/>
        <v>10.348557915236652</v>
      </c>
      <c r="AO42" s="75">
        <f t="shared" si="13"/>
        <v>-5.7294117463443602E-2</v>
      </c>
    </row>
    <row r="43" spans="1:41" ht="14.5">
      <c r="A43" s="47">
        <v>2013</v>
      </c>
      <c r="B43" s="49" t="s">
        <v>208</v>
      </c>
      <c r="C43" s="49" t="s">
        <v>209</v>
      </c>
      <c r="D43" s="49" t="s">
        <v>105</v>
      </c>
      <c r="E43" s="47">
        <v>2374</v>
      </c>
      <c r="F43" s="47">
        <v>29564</v>
      </c>
      <c r="G43" s="51">
        <v>1993</v>
      </c>
      <c r="H43" s="51">
        <v>812</v>
      </c>
      <c r="I43" s="47">
        <v>1482</v>
      </c>
      <c r="J43" s="47">
        <v>-2246</v>
      </c>
      <c r="K43" s="47">
        <v>630</v>
      </c>
      <c r="L43" s="47">
        <v>701</v>
      </c>
      <c r="M43" s="47">
        <v>2033</v>
      </c>
      <c r="N43" s="47">
        <v>9806</v>
      </c>
      <c r="O43" s="47">
        <v>955</v>
      </c>
      <c r="P43" s="47">
        <v>0</v>
      </c>
      <c r="Q43" s="47">
        <v>0</v>
      </c>
      <c r="R43" s="47">
        <v>3687</v>
      </c>
      <c r="S43" s="47">
        <v>22</v>
      </c>
      <c r="T43" s="51">
        <v>22</v>
      </c>
      <c r="U43" s="47">
        <v>1040</v>
      </c>
      <c r="V43" s="53">
        <v>-2709</v>
      </c>
      <c r="W43" s="53">
        <f t="shared" si="1"/>
        <v>21379</v>
      </c>
      <c r="X43" s="58">
        <f t="shared" si="2"/>
        <v>0</v>
      </c>
      <c r="Y43" s="55">
        <f t="shared" si="3"/>
        <v>17864</v>
      </c>
      <c r="Z43" s="58">
        <f t="shared" si="4"/>
        <v>0.65469749139203148</v>
      </c>
      <c r="AA43" s="60">
        <f t="shared" si="5"/>
        <v>1141</v>
      </c>
      <c r="AB43" s="58">
        <f t="shared" si="6"/>
        <v>0.64284264646191314</v>
      </c>
      <c r="AC43" s="58">
        <f t="shared" si="7"/>
        <v>0.54054787089774881</v>
      </c>
      <c r="AD43" s="58">
        <f t="shared" si="8"/>
        <v>5.0128534704370183E-2</v>
      </c>
      <c r="AE43" s="58">
        <f t="shared" si="9"/>
        <v>0.25901817195551941</v>
      </c>
      <c r="AF43" s="63">
        <v>0</v>
      </c>
      <c r="AG43" s="63">
        <v>0</v>
      </c>
      <c r="AH43" s="66">
        <f t="shared" si="10"/>
        <v>8.2960143304970896E-2</v>
      </c>
      <c r="AI43" s="68">
        <v>1.059277093596059E-3</v>
      </c>
      <c r="AJ43" s="68">
        <v>2.9213201970443351E-3</v>
      </c>
      <c r="AK43" s="70">
        <v>677</v>
      </c>
      <c r="AL43" s="72">
        <v>0.21724979658258747</v>
      </c>
      <c r="AM43" s="75">
        <f t="shared" si="11"/>
        <v>-9.1631714247057225E-2</v>
      </c>
      <c r="AN43" s="75">
        <f t="shared" si="12"/>
        <v>10.294312683904778</v>
      </c>
      <c r="AO43" s="75">
        <f t="shared" si="13"/>
        <v>-0.44185530248142824</v>
      </c>
    </row>
    <row r="44" spans="1:41" ht="14.5">
      <c r="A44" s="47">
        <v>2014</v>
      </c>
      <c r="B44" s="49" t="s">
        <v>208</v>
      </c>
      <c r="C44" s="49" t="s">
        <v>209</v>
      </c>
      <c r="D44" s="49" t="s">
        <v>105</v>
      </c>
      <c r="E44" s="47">
        <v>2147</v>
      </c>
      <c r="F44" s="47">
        <v>27866</v>
      </c>
      <c r="G44" s="51">
        <v>1882</v>
      </c>
      <c r="H44" s="51">
        <v>814</v>
      </c>
      <c r="I44" s="47">
        <v>3442</v>
      </c>
      <c r="J44" s="47">
        <v>-1743</v>
      </c>
      <c r="K44" s="47">
        <v>549</v>
      </c>
      <c r="L44" s="47">
        <v>672</v>
      </c>
      <c r="M44" s="47">
        <v>1456</v>
      </c>
      <c r="N44" s="47">
        <v>10691</v>
      </c>
      <c r="O44" s="47">
        <v>1014</v>
      </c>
      <c r="P44" s="47">
        <v>0</v>
      </c>
      <c r="Q44" s="47">
        <v>0</v>
      </c>
      <c r="R44" s="47">
        <v>3436</v>
      </c>
      <c r="S44" s="47">
        <v>19</v>
      </c>
      <c r="T44" s="51">
        <v>19</v>
      </c>
      <c r="U44" s="47">
        <v>1040</v>
      </c>
      <c r="V44" s="53">
        <v>-2161</v>
      </c>
      <c r="W44" s="53">
        <f t="shared" si="1"/>
        <v>20364</v>
      </c>
      <c r="X44" s="58">
        <f t="shared" si="2"/>
        <v>0</v>
      </c>
      <c r="Y44" s="55">
        <f t="shared" si="3"/>
        <v>15466</v>
      </c>
      <c r="Z44" s="58">
        <f t="shared" si="4"/>
        <v>0.83859890109890112</v>
      </c>
      <c r="AA44" s="60">
        <f t="shared" si="5"/>
        <v>2751</v>
      </c>
      <c r="AB44" s="58">
        <f t="shared" si="6"/>
        <v>0.65373573530467233</v>
      </c>
      <c r="AC44" s="58">
        <f t="shared" si="7"/>
        <v>0.54772991850989527</v>
      </c>
      <c r="AD44" s="58">
        <f t="shared" si="8"/>
        <v>0.12351970142826384</v>
      </c>
      <c r="AE44" s="58">
        <f t="shared" si="9"/>
        <v>0.29511059371362047</v>
      </c>
      <c r="AF44" s="63">
        <v>0</v>
      </c>
      <c r="AG44" s="63">
        <v>0</v>
      </c>
      <c r="AH44" s="66">
        <f t="shared" si="10"/>
        <v>0.22255269623690677</v>
      </c>
      <c r="AI44" s="68">
        <v>1.2512518427518428E-3</v>
      </c>
      <c r="AJ44" s="68">
        <v>3.4888095823095823E-3</v>
      </c>
      <c r="AK44" s="70">
        <v>661</v>
      </c>
      <c r="AL44" s="72">
        <v>0.25261932479627469</v>
      </c>
      <c r="AM44" s="75">
        <f t="shared" si="11"/>
        <v>-7.7549702145984348E-2</v>
      </c>
      <c r="AN44" s="75">
        <f t="shared" si="12"/>
        <v>10.235162586673537</v>
      </c>
      <c r="AO44" s="75">
        <f t="shared" si="13"/>
        <v>-0.42505208364270819</v>
      </c>
    </row>
    <row r="45" spans="1:41" ht="14.5">
      <c r="A45" s="47">
        <v>2015</v>
      </c>
      <c r="B45" s="49" t="s">
        <v>208</v>
      </c>
      <c r="C45" s="49" t="s">
        <v>209</v>
      </c>
      <c r="D45" s="49" t="s">
        <v>105</v>
      </c>
      <c r="E45" s="47">
        <v>1331</v>
      </c>
      <c r="F45" s="47">
        <v>21428</v>
      </c>
      <c r="G45" s="51">
        <v>1195</v>
      </c>
      <c r="H45" s="51">
        <v>830</v>
      </c>
      <c r="I45" s="47">
        <v>2743</v>
      </c>
      <c r="J45" s="47">
        <v>-329</v>
      </c>
      <c r="K45" s="47">
        <v>383</v>
      </c>
      <c r="L45" s="47">
        <v>430</v>
      </c>
      <c r="M45" s="47">
        <v>1049</v>
      </c>
      <c r="N45" s="47">
        <v>8580</v>
      </c>
      <c r="O45" s="47">
        <v>1430</v>
      </c>
      <c r="P45" s="47">
        <v>0</v>
      </c>
      <c r="Q45" s="47">
        <v>0</v>
      </c>
      <c r="R45" s="47">
        <v>4375</v>
      </c>
      <c r="S45" s="47">
        <v>12</v>
      </c>
      <c r="T45" s="51">
        <v>12</v>
      </c>
      <c r="U45" s="47">
        <v>1040</v>
      </c>
      <c r="V45" s="53">
        <v>-4158</v>
      </c>
      <c r="W45" s="53">
        <f t="shared" si="1"/>
        <v>13752</v>
      </c>
      <c r="X45" s="58">
        <f t="shared" si="2"/>
        <v>0</v>
      </c>
      <c r="Y45" s="55">
        <f t="shared" si="3"/>
        <v>9960</v>
      </c>
      <c r="Z45" s="58">
        <f t="shared" si="4"/>
        <v>0.775023832221163</v>
      </c>
      <c r="AA45" s="60">
        <f t="shared" si="5"/>
        <v>2461</v>
      </c>
      <c r="AB45" s="58">
        <f t="shared" si="6"/>
        <v>0.57966212432331532</v>
      </c>
      <c r="AC45" s="58">
        <f t="shared" si="7"/>
        <v>0.27314285714285713</v>
      </c>
      <c r="AD45" s="58">
        <f t="shared" si="8"/>
        <v>0.12801008026880717</v>
      </c>
      <c r="AE45" s="58">
        <f t="shared" si="9"/>
        <v>0.32685714285714285</v>
      </c>
      <c r="AF45" s="63">
        <v>0</v>
      </c>
      <c r="AG45" s="63">
        <v>0</v>
      </c>
      <c r="AH45" s="66">
        <f t="shared" si="10"/>
        <v>0.27540160642570283</v>
      </c>
      <c r="AI45" s="68">
        <v>1.3815915662650602E-3</v>
      </c>
      <c r="AJ45" s="68">
        <v>3.8168590361445784E-3</v>
      </c>
      <c r="AK45" s="70">
        <v>684</v>
      </c>
      <c r="AL45" s="72">
        <v>0.19954285714285713</v>
      </c>
      <c r="AM45" s="75">
        <f t="shared" si="11"/>
        <v>-0.19404517453798767</v>
      </c>
      <c r="AN45" s="75">
        <f t="shared" si="12"/>
        <v>9.9724537570008511</v>
      </c>
      <c r="AO45" s="75">
        <f t="shared" si="13"/>
        <v>-0.54530988945665715</v>
      </c>
    </row>
    <row r="46" spans="1:41" ht="14.5">
      <c r="A46" s="47">
        <v>2016</v>
      </c>
      <c r="B46" s="49" t="s">
        <v>208</v>
      </c>
      <c r="C46" s="49" t="s">
        <v>209</v>
      </c>
      <c r="D46" s="49" t="s">
        <v>105</v>
      </c>
      <c r="E46" s="47">
        <v>1568</v>
      </c>
      <c r="F46" s="47">
        <v>21497</v>
      </c>
      <c r="G46" s="51">
        <v>690</v>
      </c>
      <c r="H46" s="51">
        <v>854</v>
      </c>
      <c r="I46" s="47">
        <v>2757</v>
      </c>
      <c r="J46" s="47">
        <v>-654</v>
      </c>
      <c r="K46" s="47">
        <v>200</v>
      </c>
      <c r="L46" s="47">
        <v>422</v>
      </c>
      <c r="M46" s="47">
        <v>777</v>
      </c>
      <c r="N46" s="47">
        <v>8082</v>
      </c>
      <c r="O46" s="47">
        <v>799</v>
      </c>
      <c r="P46" s="47">
        <v>0</v>
      </c>
      <c r="Q46" s="47">
        <v>0</v>
      </c>
      <c r="R46" s="47">
        <v>3510</v>
      </c>
      <c r="S46" s="47">
        <v>14</v>
      </c>
      <c r="T46" s="51">
        <v>14</v>
      </c>
      <c r="U46" s="47">
        <v>1040</v>
      </c>
      <c r="V46" s="53">
        <v>162</v>
      </c>
      <c r="W46" s="53">
        <f t="shared" si="1"/>
        <v>15490</v>
      </c>
      <c r="X46" s="58">
        <f t="shared" si="2"/>
        <v>0</v>
      </c>
      <c r="Y46" s="55">
        <f t="shared" si="3"/>
        <v>11956</v>
      </c>
      <c r="Z46" s="58">
        <f t="shared" si="4"/>
        <v>0.80051480051480051</v>
      </c>
      <c r="AA46" s="60">
        <f t="shared" si="5"/>
        <v>1966</v>
      </c>
      <c r="AB46" s="58">
        <f t="shared" si="6"/>
        <v>0.64762525003488858</v>
      </c>
      <c r="AC46" s="58">
        <f t="shared" si="7"/>
        <v>0.19658119658119658</v>
      </c>
      <c r="AD46" s="58">
        <f t="shared" si="8"/>
        <v>0.12825045355165837</v>
      </c>
      <c r="AE46" s="58">
        <f t="shared" si="9"/>
        <v>0.22763532763532762</v>
      </c>
      <c r="AF46" s="63">
        <v>0</v>
      </c>
      <c r="AG46" s="63">
        <v>0</v>
      </c>
      <c r="AH46" s="66">
        <f t="shared" si="10"/>
        <v>0.23059551689528271</v>
      </c>
      <c r="AI46" s="68">
        <v>6.1747658079625294E-4</v>
      </c>
      <c r="AJ46" s="68">
        <v>2.6853056206088992E-3</v>
      </c>
      <c r="AK46" s="70">
        <v>649</v>
      </c>
      <c r="AL46" s="72">
        <v>0.18490028490028487</v>
      </c>
      <c r="AM46" s="75">
        <f t="shared" si="11"/>
        <v>7.5359352467786207E-3</v>
      </c>
      <c r="AN46" s="75">
        <f t="shared" si="12"/>
        <v>9.9756686694961356</v>
      </c>
      <c r="AO46" s="75">
        <f t="shared" si="13"/>
        <v>-0.43444306776752389</v>
      </c>
    </row>
    <row r="47" spans="1:41" ht="14.5">
      <c r="A47" s="47">
        <v>2017</v>
      </c>
      <c r="B47" s="49" t="s">
        <v>208</v>
      </c>
      <c r="C47" s="49" t="s">
        <v>209</v>
      </c>
      <c r="D47" s="49" t="s">
        <v>105</v>
      </c>
      <c r="E47" s="47">
        <v>1143</v>
      </c>
      <c r="F47" s="47">
        <v>21685</v>
      </c>
      <c r="G47" s="51">
        <v>1341</v>
      </c>
      <c r="H47" s="51">
        <v>867</v>
      </c>
      <c r="I47" s="47">
        <v>2226</v>
      </c>
      <c r="J47" s="47">
        <v>-1105</v>
      </c>
      <c r="K47" s="47">
        <v>234</v>
      </c>
      <c r="L47" s="47">
        <v>437</v>
      </c>
      <c r="M47" s="47">
        <v>1255</v>
      </c>
      <c r="N47" s="47">
        <v>7501</v>
      </c>
      <c r="O47" s="47">
        <v>1211</v>
      </c>
      <c r="P47" s="47">
        <v>0</v>
      </c>
      <c r="Q47" s="47">
        <v>0</v>
      </c>
      <c r="R47" s="47">
        <v>3423</v>
      </c>
      <c r="S47" s="47">
        <v>13</v>
      </c>
      <c r="T47" s="51">
        <v>13</v>
      </c>
      <c r="U47" s="47">
        <v>1040</v>
      </c>
      <c r="V47" s="53">
        <v>658</v>
      </c>
      <c r="W47" s="53">
        <f t="shared" si="1"/>
        <v>14752</v>
      </c>
      <c r="X47" s="58">
        <f t="shared" si="2"/>
        <v>0</v>
      </c>
      <c r="Y47" s="55">
        <f t="shared" si="3"/>
        <v>11271</v>
      </c>
      <c r="Z47" s="58">
        <f t="shared" si="4"/>
        <v>0.5346613545816733</v>
      </c>
      <c r="AA47" s="60">
        <f t="shared" si="5"/>
        <v>2338</v>
      </c>
      <c r="AB47" s="58">
        <f t="shared" si="6"/>
        <v>0.62757666589808625</v>
      </c>
      <c r="AC47" s="58">
        <f t="shared" si="7"/>
        <v>0.39176161262050835</v>
      </c>
      <c r="AD47" s="58">
        <f t="shared" si="8"/>
        <v>0.1026516024902006</v>
      </c>
      <c r="AE47" s="58">
        <f t="shared" si="9"/>
        <v>0.35378323108384457</v>
      </c>
      <c r="AF47" s="63">
        <v>0</v>
      </c>
      <c r="AG47" s="63">
        <v>0</v>
      </c>
      <c r="AH47" s="66">
        <f t="shared" si="10"/>
        <v>0.19749800372637744</v>
      </c>
      <c r="AI47" s="68">
        <v>2.9569319492502884E-4</v>
      </c>
      <c r="AJ47" s="68">
        <v>1.6793425605536331E-3</v>
      </c>
      <c r="AK47" s="70">
        <v>794</v>
      </c>
      <c r="AL47" s="72">
        <v>0.26175869120654394</v>
      </c>
      <c r="AM47" s="75">
        <f t="shared" si="11"/>
        <v>3.0343555453078163E-2</v>
      </c>
      <c r="AN47" s="75">
        <f t="shared" si="12"/>
        <v>9.9843760562694666</v>
      </c>
      <c r="AO47" s="75">
        <f t="shared" si="13"/>
        <v>-0.46588943870914901</v>
      </c>
    </row>
    <row r="48" spans="1:41" ht="14.5">
      <c r="A48" s="40">
        <v>2009</v>
      </c>
      <c r="B48" s="41" t="s">
        <v>240</v>
      </c>
      <c r="C48" s="41" t="s">
        <v>241</v>
      </c>
      <c r="D48" s="134" t="s">
        <v>105</v>
      </c>
      <c r="E48" s="136">
        <v>1067.2</v>
      </c>
      <c r="F48" s="136">
        <v>8096.2</v>
      </c>
      <c r="G48" s="136">
        <v>849</v>
      </c>
      <c r="H48" s="136">
        <v>704.75</v>
      </c>
      <c r="I48" s="136">
        <v>785.9</v>
      </c>
      <c r="J48" s="136">
        <v>-809.3</v>
      </c>
      <c r="K48" s="136">
        <v>358</v>
      </c>
      <c r="L48" s="136">
        <v>318</v>
      </c>
      <c r="M48" s="136">
        <v>968.1</v>
      </c>
      <c r="N48" s="136">
        <v>2802.2</v>
      </c>
      <c r="O48" s="40">
        <v>778</v>
      </c>
      <c r="P48" s="91">
        <v>0</v>
      </c>
      <c r="Q48" s="91">
        <v>0</v>
      </c>
      <c r="R48" s="91">
        <v>3228.3</v>
      </c>
      <c r="S48" s="136">
        <v>13.11</v>
      </c>
      <c r="T48" s="91">
        <v>13.11</v>
      </c>
      <c r="U48" s="40">
        <v>1040</v>
      </c>
      <c r="V48" s="40">
        <v>170</v>
      </c>
      <c r="W48" s="158">
        <f t="shared" si="1"/>
        <v>10993.272499999999</v>
      </c>
      <c r="X48" s="50">
        <f t="shared" si="2"/>
        <v>0</v>
      </c>
      <c r="Y48" s="158">
        <f t="shared" si="3"/>
        <v>9239.2724999999991</v>
      </c>
      <c r="Z48" s="50">
        <f t="shared" si="4"/>
        <v>0.69827497159384355</v>
      </c>
      <c r="AA48" s="159">
        <f t="shared" si="5"/>
        <v>686.8</v>
      </c>
      <c r="AB48" s="50">
        <f t="shared" si="6"/>
        <v>1.2260162174847458</v>
      </c>
      <c r="AC48" s="50">
        <f t="shared" si="7"/>
        <v>0.26298671127218659</v>
      </c>
      <c r="AD48" s="50">
        <f t="shared" si="8"/>
        <v>9.7070230478496083E-2</v>
      </c>
      <c r="AE48" s="50">
        <f t="shared" si="9"/>
        <v>0.24099371186073165</v>
      </c>
      <c r="AF48" s="96">
        <v>0</v>
      </c>
      <c r="AG48" s="98">
        <v>0.61025970495477877</v>
      </c>
      <c r="AH48" s="100">
        <f t="shared" si="10"/>
        <v>8.5060809712020083E-2</v>
      </c>
      <c r="AI48" s="101">
        <v>0</v>
      </c>
      <c r="AJ48" s="101">
        <v>2.6551883646683222E-3</v>
      </c>
      <c r="AK48" s="102">
        <v>516</v>
      </c>
      <c r="AL48" s="103">
        <v>0</v>
      </c>
      <c r="AM48" s="75">
        <f t="shared" si="11"/>
        <v>2.0997505002346782E-2</v>
      </c>
      <c r="AN48" s="75">
        <f t="shared" si="12"/>
        <v>8.9991500947794307</v>
      </c>
      <c r="AO48" s="75">
        <f t="shared" si="13"/>
        <v>0.20377006539125012</v>
      </c>
    </row>
    <row r="49" spans="1:41" ht="14.5">
      <c r="A49" s="40">
        <v>2010</v>
      </c>
      <c r="B49" s="41" t="s">
        <v>240</v>
      </c>
      <c r="C49" s="41" t="s">
        <v>241</v>
      </c>
      <c r="D49" s="134" t="s">
        <v>105</v>
      </c>
      <c r="E49" s="40">
        <v>1192</v>
      </c>
      <c r="F49" s="40">
        <v>9028</v>
      </c>
      <c r="G49" s="40">
        <v>1021</v>
      </c>
      <c r="H49" s="40">
        <v>706</v>
      </c>
      <c r="I49" s="40">
        <v>430</v>
      </c>
      <c r="J49" s="40">
        <v>-960</v>
      </c>
      <c r="K49" s="40">
        <v>501</v>
      </c>
      <c r="L49" s="40">
        <v>283</v>
      </c>
      <c r="M49" s="40">
        <v>1344</v>
      </c>
      <c r="N49" s="40">
        <v>3024</v>
      </c>
      <c r="O49" s="40">
        <v>1271</v>
      </c>
      <c r="P49" s="91">
        <v>0</v>
      </c>
      <c r="Q49" s="91">
        <v>0</v>
      </c>
      <c r="R49" s="91">
        <v>4164</v>
      </c>
      <c r="S49" s="40">
        <v>18</v>
      </c>
      <c r="T49" s="91">
        <v>13</v>
      </c>
      <c r="U49" s="40">
        <v>1040</v>
      </c>
      <c r="V49" s="40">
        <v>479</v>
      </c>
      <c r="W49" s="138">
        <f t="shared" si="1"/>
        <v>14482</v>
      </c>
      <c r="X49" s="50">
        <f t="shared" si="2"/>
        <v>0</v>
      </c>
      <c r="Y49" s="93">
        <f t="shared" si="3"/>
        <v>12708</v>
      </c>
      <c r="Z49" s="50">
        <f t="shared" si="4"/>
        <v>0.58333333333333337</v>
      </c>
      <c r="AA49">
        <f t="shared" si="5"/>
        <v>582</v>
      </c>
      <c r="AB49" s="50">
        <f t="shared" si="6"/>
        <v>1.4720868409393</v>
      </c>
      <c r="AC49" s="50">
        <f t="shared" si="7"/>
        <v>0.24519692603266091</v>
      </c>
      <c r="AD49" s="50">
        <f t="shared" si="8"/>
        <v>4.7629596809924679E-2</v>
      </c>
      <c r="AE49" s="50">
        <f t="shared" si="9"/>
        <v>0.3052353506243996</v>
      </c>
      <c r="AF49" s="96">
        <v>0</v>
      </c>
      <c r="AG49" s="96">
        <v>0</v>
      </c>
      <c r="AH49" s="100">
        <f t="shared" si="10"/>
        <v>3.3836953100409191E-2</v>
      </c>
      <c r="AI49" s="101">
        <v>2.756373937677054E-6</v>
      </c>
      <c r="AJ49" s="101">
        <v>1.2966345609065155E-3</v>
      </c>
      <c r="AK49" s="102">
        <v>646</v>
      </c>
      <c r="AL49" s="103">
        <v>0.04</v>
      </c>
      <c r="AM49" s="75">
        <f t="shared" si="11"/>
        <v>5.3057155516171912E-2</v>
      </c>
      <c r="AN49" s="75">
        <f t="shared" si="12"/>
        <v>9.1080861379374269</v>
      </c>
      <c r="AO49" s="75">
        <f t="shared" si="13"/>
        <v>0.38668101376986469</v>
      </c>
    </row>
    <row r="50" spans="1:41" ht="14.5">
      <c r="A50" s="40">
        <v>2011</v>
      </c>
      <c r="B50" s="41" t="s">
        <v>240</v>
      </c>
      <c r="C50" s="41" t="s">
        <v>241</v>
      </c>
      <c r="D50" s="134" t="s">
        <v>105</v>
      </c>
      <c r="E50" s="40">
        <v>1731</v>
      </c>
      <c r="F50" s="40">
        <v>10367</v>
      </c>
      <c r="G50" s="40">
        <v>1413</v>
      </c>
      <c r="H50" s="40">
        <v>724</v>
      </c>
      <c r="I50" s="40">
        <v>1361</v>
      </c>
      <c r="J50" s="40">
        <v>-2539</v>
      </c>
      <c r="K50" s="40">
        <v>744</v>
      </c>
      <c r="L50" s="40">
        <v>285</v>
      </c>
      <c r="M50" s="40">
        <v>1484</v>
      </c>
      <c r="N50" s="40">
        <v>4455</v>
      </c>
      <c r="O50" s="40">
        <v>1948</v>
      </c>
      <c r="P50" s="91">
        <v>0</v>
      </c>
      <c r="Q50" s="91">
        <v>0</v>
      </c>
      <c r="R50" s="91">
        <v>5800</v>
      </c>
      <c r="S50" s="40">
        <v>15</v>
      </c>
      <c r="T50" s="91">
        <v>15</v>
      </c>
      <c r="U50" s="40">
        <v>1040</v>
      </c>
      <c r="V50" s="40">
        <v>973</v>
      </c>
      <c r="W50" s="138">
        <f t="shared" si="1"/>
        <v>13705</v>
      </c>
      <c r="X50" s="50">
        <f t="shared" si="2"/>
        <v>0</v>
      </c>
      <c r="Y50" s="93">
        <f t="shared" si="3"/>
        <v>10860</v>
      </c>
      <c r="Z50" s="50">
        <f t="shared" si="4"/>
        <v>0.69339622641509435</v>
      </c>
      <c r="AA50">
        <f t="shared" si="5"/>
        <v>1114</v>
      </c>
      <c r="AB50" s="50">
        <f t="shared" si="6"/>
        <v>1.1550110928909039</v>
      </c>
      <c r="AC50" s="50">
        <f t="shared" si="7"/>
        <v>0.24362068965517242</v>
      </c>
      <c r="AD50" s="50">
        <f t="shared" si="8"/>
        <v>0.13128195234879908</v>
      </c>
      <c r="AE50" s="50">
        <f t="shared" si="9"/>
        <v>0.33586206896551724</v>
      </c>
      <c r="AF50" s="96">
        <v>0</v>
      </c>
      <c r="AG50" s="96">
        <v>0</v>
      </c>
      <c r="AH50" s="100">
        <f t="shared" si="10"/>
        <v>0.12532228360957642</v>
      </c>
      <c r="AI50" s="101">
        <v>2.8598066298342541E-5</v>
      </c>
      <c r="AJ50" s="101">
        <v>4.2986878453038675E-4</v>
      </c>
      <c r="AK50" s="102">
        <v>795</v>
      </c>
      <c r="AL50" s="103">
        <v>3.5999999999999997E-2</v>
      </c>
      <c r="AM50" s="75">
        <f t="shared" si="11"/>
        <v>9.3855503038487512E-2</v>
      </c>
      <c r="AN50" s="75">
        <f t="shared" si="12"/>
        <v>9.2463829633231125</v>
      </c>
      <c r="AO50" s="75">
        <f t="shared" si="13"/>
        <v>0.14410994816218531</v>
      </c>
    </row>
    <row r="51" spans="1:41" ht="14.5">
      <c r="A51" s="40">
        <v>2012</v>
      </c>
      <c r="B51" s="41" t="s">
        <v>240</v>
      </c>
      <c r="C51" s="41" t="s">
        <v>241</v>
      </c>
      <c r="D51" s="134" t="s">
        <v>105</v>
      </c>
      <c r="E51" s="40">
        <v>3876</v>
      </c>
      <c r="F51" s="40">
        <v>11091</v>
      </c>
      <c r="G51" s="40">
        <v>1240</v>
      </c>
      <c r="H51" s="40">
        <v>730</v>
      </c>
      <c r="I51" s="40">
        <v>1829</v>
      </c>
      <c r="J51" s="40">
        <v>-1680</v>
      </c>
      <c r="K51" s="40">
        <v>606</v>
      </c>
      <c r="L51" s="40">
        <v>327</v>
      </c>
      <c r="M51" s="40">
        <v>2201</v>
      </c>
      <c r="N51" s="40">
        <v>4888</v>
      </c>
      <c r="O51" s="40">
        <v>1066</v>
      </c>
      <c r="P51" s="91">
        <v>0</v>
      </c>
      <c r="Q51" s="91">
        <v>0</v>
      </c>
      <c r="R51" s="91">
        <v>3531</v>
      </c>
      <c r="S51" s="40">
        <v>12</v>
      </c>
      <c r="T51" s="91">
        <v>12</v>
      </c>
      <c r="U51" s="40">
        <v>1040</v>
      </c>
      <c r="V51" s="40">
        <v>691</v>
      </c>
      <c r="W51" s="138">
        <f t="shared" si="1"/>
        <v>12790</v>
      </c>
      <c r="X51" s="50">
        <f t="shared" si="2"/>
        <v>0</v>
      </c>
      <c r="Y51" s="93">
        <f t="shared" si="3"/>
        <v>8760</v>
      </c>
      <c r="Z51" s="50">
        <f t="shared" si="4"/>
        <v>0.42389822807814631</v>
      </c>
      <c r="AA51">
        <f t="shared" si="5"/>
        <v>154</v>
      </c>
      <c r="AB51" s="50">
        <f t="shared" si="6"/>
        <v>0.80371472364980612</v>
      </c>
      <c r="AC51" s="50">
        <f t="shared" si="7"/>
        <v>0.35117530444633249</v>
      </c>
      <c r="AD51" s="50">
        <f t="shared" si="8"/>
        <v>0.16490848435668559</v>
      </c>
      <c r="AE51" s="50">
        <f t="shared" si="9"/>
        <v>0.30189747946757295</v>
      </c>
      <c r="AF51" s="96">
        <v>0</v>
      </c>
      <c r="AG51" s="98">
        <v>2.2959064861982129E-2</v>
      </c>
      <c r="AH51" s="100">
        <f t="shared" si="10"/>
        <v>0.20878995433789954</v>
      </c>
      <c r="AI51" s="101">
        <v>4.7310958904109592E-5</v>
      </c>
      <c r="AJ51" s="101">
        <v>1.0342465753424658E-4</v>
      </c>
      <c r="AK51" s="102">
        <v>720</v>
      </c>
      <c r="AL51" s="103">
        <v>5.656985121942433E-2</v>
      </c>
      <c r="AM51" s="75">
        <f t="shared" si="11"/>
        <v>6.2302768010098278E-2</v>
      </c>
      <c r="AN51" s="75">
        <f t="shared" si="12"/>
        <v>9.3138892476047417</v>
      </c>
      <c r="AO51" s="75">
        <f t="shared" si="13"/>
        <v>-0.21851089409824051</v>
      </c>
    </row>
    <row r="52" spans="1:41" ht="14.5">
      <c r="A52" s="40">
        <v>2013</v>
      </c>
      <c r="B52" s="41" t="s">
        <v>240</v>
      </c>
      <c r="C52" s="41" t="s">
        <v>241</v>
      </c>
      <c r="D52" s="134" t="s">
        <v>105</v>
      </c>
      <c r="E52" s="40">
        <v>1061</v>
      </c>
      <c r="F52" s="40">
        <v>7296</v>
      </c>
      <c r="G52" s="40">
        <v>739</v>
      </c>
      <c r="H52" s="40">
        <v>767</v>
      </c>
      <c r="I52" s="40">
        <v>1934</v>
      </c>
      <c r="J52" s="40">
        <v>-915</v>
      </c>
      <c r="K52" s="40">
        <v>325</v>
      </c>
      <c r="L52" s="40">
        <v>199</v>
      </c>
      <c r="M52" s="40">
        <v>624</v>
      </c>
      <c r="N52" s="40">
        <v>3251</v>
      </c>
      <c r="O52" s="40">
        <v>361</v>
      </c>
      <c r="P52" s="91">
        <v>0</v>
      </c>
      <c r="Q52" s="91">
        <v>0</v>
      </c>
      <c r="R52" s="91">
        <v>2906</v>
      </c>
      <c r="S52" s="40">
        <v>3</v>
      </c>
      <c r="T52" s="91">
        <v>3</v>
      </c>
      <c r="U52" s="40">
        <v>1040</v>
      </c>
      <c r="V52" s="40">
        <v>-296</v>
      </c>
      <c r="W52" s="138">
        <f t="shared" si="1"/>
        <v>4859</v>
      </c>
      <c r="X52" s="50">
        <f t="shared" si="2"/>
        <v>0</v>
      </c>
      <c r="Y52" s="93">
        <f t="shared" si="3"/>
        <v>2301</v>
      </c>
      <c r="Z52" s="50">
        <f t="shared" si="4"/>
        <v>0.83974358974358976</v>
      </c>
      <c r="AA52">
        <f t="shared" si="5"/>
        <v>1497</v>
      </c>
      <c r="AB52" s="50">
        <f t="shared" si="6"/>
        <v>0.52055921052631582</v>
      </c>
      <c r="AC52" s="50">
        <f t="shared" si="7"/>
        <v>0.25430144528561599</v>
      </c>
      <c r="AD52" s="50">
        <f t="shared" si="8"/>
        <v>0.2650767543859649</v>
      </c>
      <c r="AE52" s="50">
        <f t="shared" si="9"/>
        <v>0.12422573984858913</v>
      </c>
      <c r="AF52" s="96">
        <v>0</v>
      </c>
      <c r="AG52" s="98">
        <v>3.118450634926449E-2</v>
      </c>
      <c r="AH52" s="100">
        <f t="shared" si="10"/>
        <v>0.8405041286397219</v>
      </c>
      <c r="AI52" s="101">
        <v>2.5162320730117338E-4</v>
      </c>
      <c r="AJ52" s="101">
        <v>0</v>
      </c>
      <c r="AK52" s="102">
        <v>756</v>
      </c>
      <c r="AL52" s="103">
        <v>8.3161407975776758E-2</v>
      </c>
      <c r="AM52" s="75">
        <f t="shared" si="11"/>
        <v>-4.0570175438596492E-2</v>
      </c>
      <c r="AN52" s="75">
        <f t="shared" si="12"/>
        <v>8.8950815317541672</v>
      </c>
      <c r="AO52" s="75">
        <f t="shared" si="13"/>
        <v>-0.6528516403819361</v>
      </c>
    </row>
    <row r="53" spans="1:41" ht="14.5">
      <c r="A53" s="40">
        <v>2014</v>
      </c>
      <c r="B53" s="41" t="s">
        <v>240</v>
      </c>
      <c r="C53" s="41" t="s">
        <v>241</v>
      </c>
      <c r="D53" s="134" t="s">
        <v>105</v>
      </c>
      <c r="E53" s="40">
        <v>1093</v>
      </c>
      <c r="F53" s="40">
        <v>6858</v>
      </c>
      <c r="G53" s="40">
        <v>609</v>
      </c>
      <c r="H53" s="40">
        <v>771</v>
      </c>
      <c r="I53" s="40">
        <v>1766</v>
      </c>
      <c r="J53" s="40">
        <v>-531</v>
      </c>
      <c r="K53" s="40">
        <v>458</v>
      </c>
      <c r="L53" s="40">
        <v>162</v>
      </c>
      <c r="M53" s="40">
        <v>713</v>
      </c>
      <c r="N53" s="40">
        <v>3194</v>
      </c>
      <c r="O53" s="40">
        <v>809</v>
      </c>
      <c r="P53" s="91">
        <v>0</v>
      </c>
      <c r="Q53" s="91">
        <v>0</v>
      </c>
      <c r="R53" s="91">
        <v>2869</v>
      </c>
      <c r="S53" s="40">
        <v>5</v>
      </c>
      <c r="T53" s="91">
        <v>5</v>
      </c>
      <c r="U53" s="40">
        <v>1040</v>
      </c>
      <c r="V53" s="40">
        <v>13</v>
      </c>
      <c r="W53" s="138">
        <f t="shared" si="1"/>
        <v>6334</v>
      </c>
      <c r="X53" s="50">
        <f t="shared" si="2"/>
        <v>0</v>
      </c>
      <c r="Y53" s="93">
        <f t="shared" si="3"/>
        <v>3855</v>
      </c>
      <c r="Z53" s="50">
        <f t="shared" si="4"/>
        <v>0.86956521739130432</v>
      </c>
      <c r="AA53">
        <f t="shared" si="5"/>
        <v>1386</v>
      </c>
      <c r="AB53" s="50">
        <f t="shared" si="6"/>
        <v>0.76421697287839019</v>
      </c>
      <c r="AC53" s="50">
        <f t="shared" si="7"/>
        <v>0.2122690833042872</v>
      </c>
      <c r="AD53" s="50">
        <f t="shared" si="8"/>
        <v>0.25750947798191892</v>
      </c>
      <c r="AE53" s="50">
        <f t="shared" si="9"/>
        <v>0.28197978389682815</v>
      </c>
      <c r="AF53" s="96">
        <v>0</v>
      </c>
      <c r="AG53" s="98">
        <v>0.47991791309469867</v>
      </c>
      <c r="AH53" s="100">
        <f t="shared" si="10"/>
        <v>0.45810635538261996</v>
      </c>
      <c r="AI53" s="101">
        <v>2.0255252918287937E-4</v>
      </c>
      <c r="AJ53" s="101">
        <v>0</v>
      </c>
      <c r="AK53" s="102">
        <v>820</v>
      </c>
      <c r="AL53" s="103">
        <v>8.5140686001115448E-2</v>
      </c>
      <c r="AM53" s="75">
        <f t="shared" si="11"/>
        <v>1.8955963837853601E-3</v>
      </c>
      <c r="AN53" s="75">
        <f t="shared" si="12"/>
        <v>8.8331711330228657</v>
      </c>
      <c r="AO53" s="75">
        <f t="shared" si="13"/>
        <v>-0.2689035342206994</v>
      </c>
    </row>
    <row r="54" spans="1:41" ht="14.5">
      <c r="A54" s="40">
        <v>2015</v>
      </c>
      <c r="B54" s="41" t="s">
        <v>240</v>
      </c>
      <c r="C54" s="41" t="s">
        <v>241</v>
      </c>
      <c r="D54" s="134" t="s">
        <v>105</v>
      </c>
      <c r="E54" s="40">
        <v>908</v>
      </c>
      <c r="F54" s="40">
        <v>5878</v>
      </c>
      <c r="G54" s="40">
        <v>634</v>
      </c>
      <c r="H54" s="40">
        <v>777</v>
      </c>
      <c r="I54" s="40">
        <v>1762</v>
      </c>
      <c r="J54" s="40">
        <v>-652</v>
      </c>
      <c r="K54" s="40">
        <v>440</v>
      </c>
      <c r="L54" s="40">
        <v>128</v>
      </c>
      <c r="M54" s="40">
        <v>564</v>
      </c>
      <c r="N54" s="40">
        <v>3110</v>
      </c>
      <c r="O54" s="40">
        <v>759</v>
      </c>
      <c r="P54" s="91">
        <v>0</v>
      </c>
      <c r="Q54" s="91">
        <v>0</v>
      </c>
      <c r="R54" s="91">
        <v>2545</v>
      </c>
      <c r="S54" s="40">
        <v>3</v>
      </c>
      <c r="T54" s="91">
        <v>3</v>
      </c>
      <c r="U54" s="40">
        <v>1040</v>
      </c>
      <c r="V54" s="40">
        <v>-242</v>
      </c>
      <c r="W54" s="138">
        <f t="shared" si="1"/>
        <v>4657</v>
      </c>
      <c r="X54" s="50">
        <f t="shared" si="2"/>
        <v>0</v>
      </c>
      <c r="Y54" s="93">
        <f t="shared" si="3"/>
        <v>2331</v>
      </c>
      <c r="Z54" s="50">
        <f t="shared" si="4"/>
        <v>1.0070921985815602</v>
      </c>
      <c r="AA54">
        <f t="shared" si="5"/>
        <v>1418</v>
      </c>
      <c r="AB54" s="50">
        <f t="shared" si="6"/>
        <v>0.63780197346036072</v>
      </c>
      <c r="AC54" s="50">
        <f t="shared" si="7"/>
        <v>0.24911591355599214</v>
      </c>
      <c r="AD54" s="50">
        <f t="shared" si="8"/>
        <v>0.29976182374957466</v>
      </c>
      <c r="AE54" s="50">
        <f t="shared" si="9"/>
        <v>0.29823182711198426</v>
      </c>
      <c r="AF54" s="96">
        <v>0</v>
      </c>
      <c r="AG54" s="98">
        <v>3.5115944860587708E-2</v>
      </c>
      <c r="AH54" s="100">
        <f t="shared" si="10"/>
        <v>0.75589875589875588</v>
      </c>
      <c r="AI54" s="101">
        <v>6.5135392535392534E-4</v>
      </c>
      <c r="AJ54" s="101">
        <v>0</v>
      </c>
      <c r="AK54" s="102">
        <v>734</v>
      </c>
      <c r="AL54" s="103">
        <v>6.5473403001492889E-2</v>
      </c>
      <c r="AM54" s="75">
        <f t="shared" si="11"/>
        <v>-4.1170466144947258E-2</v>
      </c>
      <c r="AN54" s="75">
        <f t="shared" si="12"/>
        <v>8.6789718469788628</v>
      </c>
      <c r="AO54" s="75">
        <f t="shared" si="13"/>
        <v>-0.44972743024295059</v>
      </c>
    </row>
    <row r="55" spans="1:41" ht="14.5">
      <c r="A55" s="40">
        <v>2016</v>
      </c>
      <c r="B55" s="41" t="s">
        <v>240</v>
      </c>
      <c r="C55" s="41" t="s">
        <v>241</v>
      </c>
      <c r="D55" s="134" t="s">
        <v>105</v>
      </c>
      <c r="E55" s="40">
        <v>1053</v>
      </c>
      <c r="F55" s="40">
        <v>6335</v>
      </c>
      <c r="G55" s="40">
        <v>847</v>
      </c>
      <c r="H55" s="40">
        <v>821</v>
      </c>
      <c r="I55" s="40">
        <v>1505</v>
      </c>
      <c r="J55" s="40">
        <v>-868</v>
      </c>
      <c r="K55" s="40">
        <v>527</v>
      </c>
      <c r="L55" s="40">
        <v>120</v>
      </c>
      <c r="M55" s="40">
        <v>859</v>
      </c>
      <c r="N55" s="40">
        <v>3145</v>
      </c>
      <c r="O55" s="40">
        <v>957</v>
      </c>
      <c r="P55" s="91">
        <v>0</v>
      </c>
      <c r="Q55" s="91">
        <v>0</v>
      </c>
      <c r="R55" s="91">
        <v>2750</v>
      </c>
      <c r="S55" s="40">
        <v>3</v>
      </c>
      <c r="T55" s="91">
        <v>3</v>
      </c>
      <c r="U55" s="40">
        <v>1040</v>
      </c>
      <c r="V55" s="40">
        <v>163</v>
      </c>
      <c r="W55" s="138">
        <f t="shared" si="1"/>
        <v>4827</v>
      </c>
      <c r="X55" s="50">
        <f t="shared" si="2"/>
        <v>0</v>
      </c>
      <c r="Y55" s="93">
        <f t="shared" si="3"/>
        <v>2463</v>
      </c>
      <c r="Z55" s="50">
        <f t="shared" si="4"/>
        <v>0.75320139697322464</v>
      </c>
      <c r="AA55">
        <f t="shared" si="5"/>
        <v>1311</v>
      </c>
      <c r="AB55" s="50">
        <f t="shared" si="6"/>
        <v>0.59573796369376475</v>
      </c>
      <c r="AC55" s="50">
        <f t="shared" si="7"/>
        <v>0.308</v>
      </c>
      <c r="AD55" s="50">
        <f t="shared" si="8"/>
        <v>0.23756906077348067</v>
      </c>
      <c r="AE55" s="50">
        <f t="shared" si="9"/>
        <v>0.34799999999999998</v>
      </c>
      <c r="AF55" s="96">
        <v>0</v>
      </c>
      <c r="AG55" s="96">
        <v>0</v>
      </c>
      <c r="AH55" s="100">
        <f t="shared" si="10"/>
        <v>0.61104344295574498</v>
      </c>
      <c r="AI55" s="101">
        <v>5.5355420219244827E-4</v>
      </c>
      <c r="AJ55" s="101">
        <v>0</v>
      </c>
      <c r="AK55" s="102">
        <v>693</v>
      </c>
      <c r="AL55" s="103">
        <v>5.8366612111292959E-2</v>
      </c>
      <c r="AM55" s="75">
        <f t="shared" si="11"/>
        <v>2.5730071033938436E-2</v>
      </c>
      <c r="AN55" s="75">
        <f t="shared" si="12"/>
        <v>8.75384509275524</v>
      </c>
      <c r="AO55" s="75">
        <f t="shared" si="13"/>
        <v>-0.51795436682674401</v>
      </c>
    </row>
    <row r="56" spans="1:41" ht="14.5">
      <c r="A56" s="40">
        <v>2017</v>
      </c>
      <c r="B56" s="41" t="s">
        <v>240</v>
      </c>
      <c r="C56" s="41" t="s">
        <v>241</v>
      </c>
      <c r="D56" s="134" t="s">
        <v>105</v>
      </c>
      <c r="E56" s="40">
        <v>1114</v>
      </c>
      <c r="F56" s="40">
        <v>6620</v>
      </c>
      <c r="G56" s="40">
        <v>834</v>
      </c>
      <c r="H56" s="40">
        <v>821</v>
      </c>
      <c r="I56" s="40">
        <v>1588</v>
      </c>
      <c r="J56" s="40">
        <v>-909</v>
      </c>
      <c r="K56" s="40">
        <v>479</v>
      </c>
      <c r="L56" s="40">
        <v>125</v>
      </c>
      <c r="M56" s="40">
        <v>854</v>
      </c>
      <c r="N56" s="40">
        <v>3217</v>
      </c>
      <c r="O56" s="40">
        <v>825</v>
      </c>
      <c r="P56" s="91">
        <v>0</v>
      </c>
      <c r="Q56" s="91">
        <v>0</v>
      </c>
      <c r="R56" s="91">
        <v>2762</v>
      </c>
      <c r="S56" s="40">
        <v>4</v>
      </c>
      <c r="T56" s="91">
        <v>4</v>
      </c>
      <c r="U56" s="40">
        <v>1040</v>
      </c>
      <c r="V56" s="40">
        <v>-19</v>
      </c>
      <c r="W56" s="138">
        <f t="shared" si="1"/>
        <v>5726</v>
      </c>
      <c r="X56" s="50">
        <f t="shared" si="2"/>
        <v>0</v>
      </c>
      <c r="Y56" s="93">
        <f t="shared" si="3"/>
        <v>3284</v>
      </c>
      <c r="Z56" s="50">
        <f t="shared" si="4"/>
        <v>0.70725995316159251</v>
      </c>
      <c r="AA56">
        <f t="shared" si="5"/>
        <v>1328</v>
      </c>
      <c r="AB56" s="50">
        <f t="shared" si="6"/>
        <v>0.6966767371601208</v>
      </c>
      <c r="AC56" s="50">
        <f t="shared" si="7"/>
        <v>0.30195510499637945</v>
      </c>
      <c r="AD56" s="50">
        <f t="shared" si="8"/>
        <v>0.23987915407854984</v>
      </c>
      <c r="AE56" s="50">
        <f t="shared" si="9"/>
        <v>0.29869659666908038</v>
      </c>
      <c r="AF56" s="98">
        <v>0.28383546197506315</v>
      </c>
      <c r="AG56" s="98">
        <v>1.1898854444941638</v>
      </c>
      <c r="AH56" s="100">
        <f t="shared" si="10"/>
        <v>0.48355663824604139</v>
      </c>
      <c r="AI56" s="101">
        <v>1.7275517661388551E-4</v>
      </c>
      <c r="AJ56" s="101">
        <v>0</v>
      </c>
      <c r="AK56" s="102">
        <v>771</v>
      </c>
      <c r="AL56" s="103">
        <v>6.6997464686707711E-2</v>
      </c>
      <c r="AM56" s="75">
        <f t="shared" si="11"/>
        <v>-2.8700906344410878E-3</v>
      </c>
      <c r="AN56" s="75">
        <f t="shared" si="12"/>
        <v>8.7978506489310533</v>
      </c>
      <c r="AO56" s="75">
        <f t="shared" si="13"/>
        <v>-0.36143376754210432</v>
      </c>
    </row>
    <row r="57" spans="1:41" ht="14.5">
      <c r="A57" s="47">
        <v>2009</v>
      </c>
      <c r="B57" s="49" t="s">
        <v>269</v>
      </c>
      <c r="C57" s="49" t="s">
        <v>270</v>
      </c>
      <c r="D57" s="77" t="s">
        <v>105</v>
      </c>
      <c r="E57" s="47">
        <v>2459</v>
      </c>
      <c r="F57" s="47">
        <v>9787</v>
      </c>
      <c r="G57" s="47">
        <v>1019</v>
      </c>
      <c r="H57" s="47">
        <v>363</v>
      </c>
      <c r="I57" s="47">
        <v>654</v>
      </c>
      <c r="J57" s="47">
        <v>-195</v>
      </c>
      <c r="K57" s="47">
        <v>1165</v>
      </c>
      <c r="L57" s="47">
        <v>139</v>
      </c>
      <c r="M57" s="47">
        <v>4550</v>
      </c>
      <c r="N57" s="47">
        <v>6757</v>
      </c>
      <c r="O57" s="47">
        <v>502</v>
      </c>
      <c r="P57" s="51">
        <v>399</v>
      </c>
      <c r="Q57" s="51">
        <v>0</v>
      </c>
      <c r="R57" s="51">
        <v>3862</v>
      </c>
      <c r="S57" s="47">
        <v>40</v>
      </c>
      <c r="T57" s="51">
        <v>40</v>
      </c>
      <c r="U57" s="47">
        <v>1040</v>
      </c>
      <c r="V57" s="53">
        <v>-320</v>
      </c>
      <c r="W57" s="53">
        <f t="shared" si="1"/>
        <v>19724</v>
      </c>
      <c r="X57" s="58">
        <f t="shared" si="2"/>
        <v>2.0229162441695397E-2</v>
      </c>
      <c r="Y57" s="55">
        <f t="shared" si="3"/>
        <v>14520</v>
      </c>
      <c r="Z57" s="58">
        <f t="shared" si="4"/>
        <v>0.2865934065934066</v>
      </c>
      <c r="AA57" s="60">
        <f t="shared" si="5"/>
        <v>2745</v>
      </c>
      <c r="AB57" s="58">
        <f t="shared" si="6"/>
        <v>1.7640747930928784</v>
      </c>
      <c r="AC57" s="58">
        <f t="shared" si="7"/>
        <v>0.26385292594510618</v>
      </c>
      <c r="AD57" s="58">
        <f t="shared" si="8"/>
        <v>6.6823337079799733E-2</v>
      </c>
      <c r="AE57" s="58">
        <f t="shared" si="9"/>
        <v>0.12998446400828587</v>
      </c>
      <c r="AF57" s="83">
        <v>0.75869565217391299</v>
      </c>
      <c r="AG57" s="63">
        <v>0</v>
      </c>
      <c r="AH57" s="66">
        <f t="shared" si="10"/>
        <v>4.5041322314049587E-2</v>
      </c>
      <c r="AI57" s="68">
        <v>5.6063360881542702E-5</v>
      </c>
      <c r="AJ57" s="68">
        <v>1.3386584022038568E-3</v>
      </c>
      <c r="AK57" s="70">
        <v>534</v>
      </c>
      <c r="AL57" s="72">
        <v>2.7137076378351038E-2</v>
      </c>
      <c r="AM57" s="75">
        <f t="shared" si="11"/>
        <v>-3.2696434045161947E-2</v>
      </c>
      <c r="AN57" s="75">
        <f t="shared" si="12"/>
        <v>9.1888102534258191</v>
      </c>
      <c r="AO57" s="75">
        <f t="shared" si="13"/>
        <v>0.5676263563982733</v>
      </c>
    </row>
    <row r="58" spans="1:41" ht="14.5">
      <c r="A58" s="47">
        <v>2010</v>
      </c>
      <c r="B58" s="49" t="s">
        <v>269</v>
      </c>
      <c r="C58" s="49" t="s">
        <v>270</v>
      </c>
      <c r="D58" s="77" t="s">
        <v>105</v>
      </c>
      <c r="E58" s="47">
        <v>1740</v>
      </c>
      <c r="F58" s="47">
        <v>9532</v>
      </c>
      <c r="G58" s="47">
        <v>973</v>
      </c>
      <c r="H58" s="47">
        <v>382</v>
      </c>
      <c r="I58" s="47">
        <v>2569</v>
      </c>
      <c r="J58" s="47">
        <v>-871</v>
      </c>
      <c r="K58" s="47">
        <v>585</v>
      </c>
      <c r="L58" s="47">
        <v>187</v>
      </c>
      <c r="M58" s="47">
        <v>977</v>
      </c>
      <c r="N58" s="47">
        <v>5419</v>
      </c>
      <c r="O58" s="47">
        <v>-942</v>
      </c>
      <c r="P58" s="51">
        <v>236</v>
      </c>
      <c r="Q58" s="51">
        <v>0</v>
      </c>
      <c r="R58" s="51">
        <v>5463</v>
      </c>
      <c r="S58" s="47">
        <v>49</v>
      </c>
      <c r="T58" s="51">
        <v>49</v>
      </c>
      <c r="U58" s="47">
        <v>1040</v>
      </c>
      <c r="V58" s="53">
        <v>76</v>
      </c>
      <c r="W58" s="53">
        <f t="shared" si="1"/>
        <v>22264</v>
      </c>
      <c r="X58" s="58">
        <f t="shared" si="2"/>
        <v>1.0600071864893999E-2</v>
      </c>
      <c r="Y58" s="55">
        <f t="shared" si="3"/>
        <v>18718</v>
      </c>
      <c r="Z58" s="58">
        <f t="shared" si="4"/>
        <v>0.79017400204708288</v>
      </c>
      <c r="AA58" s="60">
        <f t="shared" si="5"/>
        <v>1806</v>
      </c>
      <c r="AB58" s="58">
        <f t="shared" si="6"/>
        <v>2.1531682752832566</v>
      </c>
      <c r="AC58" s="58">
        <f t="shared" si="7"/>
        <v>0.1781072670693758</v>
      </c>
      <c r="AD58" s="58">
        <f t="shared" si="8"/>
        <v>0.26951321863197653</v>
      </c>
      <c r="AE58" s="58">
        <f t="shared" si="9"/>
        <v>-0.17243272926963207</v>
      </c>
      <c r="AF58" s="63">
        <v>0</v>
      </c>
      <c r="AG58" s="63">
        <v>0</v>
      </c>
      <c r="AH58" s="66">
        <f t="shared" si="10"/>
        <v>0.13724756918474196</v>
      </c>
      <c r="AI58" s="68">
        <v>5.3274869109947644E-5</v>
      </c>
      <c r="AJ58" s="68">
        <v>1.2877251308900522E-3</v>
      </c>
      <c r="AK58" s="70">
        <v>627</v>
      </c>
      <c r="AL58" s="72">
        <v>2.6747311586051745E-2</v>
      </c>
      <c r="AM58" s="75">
        <f t="shared" si="11"/>
        <v>7.9731430969366343E-3</v>
      </c>
      <c r="AN58" s="75">
        <f t="shared" si="12"/>
        <v>9.1624098382186325</v>
      </c>
      <c r="AO58" s="75">
        <f t="shared" si="13"/>
        <v>0.76694037384322278</v>
      </c>
    </row>
    <row r="59" spans="1:41" ht="14.5">
      <c r="A59" s="47">
        <v>2011</v>
      </c>
      <c r="B59" s="49" t="s">
        <v>269</v>
      </c>
      <c r="C59" s="49" t="s">
        <v>270</v>
      </c>
      <c r="D59" s="77" t="s">
        <v>105</v>
      </c>
      <c r="E59" s="47">
        <v>2582</v>
      </c>
      <c r="F59" s="47">
        <v>10802</v>
      </c>
      <c r="G59" s="47">
        <v>1393</v>
      </c>
      <c r="H59" s="47">
        <v>383</v>
      </c>
      <c r="I59" s="47">
        <v>2456</v>
      </c>
      <c r="J59" s="47">
        <v>-1564</v>
      </c>
      <c r="K59" s="47">
        <v>1147</v>
      </c>
      <c r="L59" s="47">
        <v>265</v>
      </c>
      <c r="M59" s="47">
        <v>938</v>
      </c>
      <c r="N59" s="47">
        <v>5636</v>
      </c>
      <c r="O59" s="47">
        <v>2655</v>
      </c>
      <c r="P59" s="51">
        <v>154</v>
      </c>
      <c r="Q59" s="51">
        <v>0</v>
      </c>
      <c r="R59" s="51">
        <v>6794</v>
      </c>
      <c r="S59" s="47">
        <v>42</v>
      </c>
      <c r="T59" s="51">
        <v>42</v>
      </c>
      <c r="U59" s="47">
        <v>1040</v>
      </c>
      <c r="V59" s="53">
        <v>1552</v>
      </c>
      <c r="W59" s="53">
        <f t="shared" si="1"/>
        <v>19480</v>
      </c>
      <c r="X59" s="58">
        <f t="shared" si="2"/>
        <v>7.9055441478439424E-3</v>
      </c>
      <c r="Y59" s="55">
        <f t="shared" si="3"/>
        <v>16086</v>
      </c>
      <c r="Z59" s="58">
        <f t="shared" si="4"/>
        <v>1.5053304904051172</v>
      </c>
      <c r="AA59" s="60">
        <f t="shared" si="5"/>
        <v>812</v>
      </c>
      <c r="AB59" s="58">
        <f t="shared" si="6"/>
        <v>1.5643399370486948</v>
      </c>
      <c r="AC59" s="58">
        <f t="shared" si="7"/>
        <v>0.20503385340005886</v>
      </c>
      <c r="AD59" s="58">
        <f t="shared" si="8"/>
        <v>0.2273653027217182</v>
      </c>
      <c r="AE59" s="58">
        <f t="shared" si="9"/>
        <v>0.39078598763614952</v>
      </c>
      <c r="AF59" s="63">
        <v>0</v>
      </c>
      <c r="AG59" s="63">
        <v>0</v>
      </c>
      <c r="AH59" s="66">
        <f t="shared" si="10"/>
        <v>0.15267934850180281</v>
      </c>
      <c r="AI59" s="68">
        <v>5.3135770234986948E-5</v>
      </c>
      <c r="AJ59" s="68">
        <v>1.0944543080939947E-3</v>
      </c>
      <c r="AK59" s="70">
        <v>733</v>
      </c>
      <c r="AL59" s="72">
        <v>6.3835850669706429E-2</v>
      </c>
      <c r="AM59" s="75">
        <f t="shared" si="11"/>
        <v>0.14367709683391963</v>
      </c>
      <c r="AN59" s="75">
        <f t="shared" si="12"/>
        <v>9.2874865811528373</v>
      </c>
      <c r="AO59" s="75">
        <f t="shared" si="13"/>
        <v>0.44746396955995377</v>
      </c>
    </row>
    <row r="60" spans="1:41" ht="14.5">
      <c r="A60" s="47">
        <v>2012</v>
      </c>
      <c r="B60" s="49" t="s">
        <v>269</v>
      </c>
      <c r="C60" s="49" t="s">
        <v>270</v>
      </c>
      <c r="D60" s="77" t="s">
        <v>105</v>
      </c>
      <c r="E60" s="47">
        <v>2684</v>
      </c>
      <c r="F60" s="47">
        <v>12695</v>
      </c>
      <c r="G60" s="47">
        <v>1758</v>
      </c>
      <c r="H60" s="47">
        <v>384</v>
      </c>
      <c r="I60" s="47">
        <v>2724</v>
      </c>
      <c r="J60" s="47">
        <v>-2608</v>
      </c>
      <c r="K60" s="47">
        <v>927</v>
      </c>
      <c r="L60" s="47">
        <v>382</v>
      </c>
      <c r="M60" s="47">
        <v>1955</v>
      </c>
      <c r="N60" s="47">
        <v>7226</v>
      </c>
      <c r="O60" s="47">
        <v>1802</v>
      </c>
      <c r="P60" s="51">
        <v>268</v>
      </c>
      <c r="Q60" s="51">
        <v>0</v>
      </c>
      <c r="R60" s="51">
        <v>6559</v>
      </c>
      <c r="S60" s="47">
        <v>31</v>
      </c>
      <c r="T60" s="51">
        <v>31</v>
      </c>
      <c r="U60" s="47">
        <v>1040</v>
      </c>
      <c r="V60" s="53">
        <v>830</v>
      </c>
      <c r="W60" s="53">
        <f t="shared" si="1"/>
        <v>16583</v>
      </c>
      <c r="X60" s="58">
        <f t="shared" si="2"/>
        <v>1.6161128866911897E-2</v>
      </c>
      <c r="Y60" s="55">
        <f t="shared" si="3"/>
        <v>11904</v>
      </c>
      <c r="Z60" s="58">
        <f t="shared" si="4"/>
        <v>0.66956521739130437</v>
      </c>
      <c r="AA60" s="60">
        <f t="shared" si="5"/>
        <v>1995</v>
      </c>
      <c r="AB60" s="58">
        <f t="shared" si="6"/>
        <v>1.0948404883812524</v>
      </c>
      <c r="AC60" s="58">
        <f t="shared" si="7"/>
        <v>0.2680286629059308</v>
      </c>
      <c r="AD60" s="58">
        <f t="shared" si="8"/>
        <v>0.21457266640409611</v>
      </c>
      <c r="AE60" s="58">
        <f t="shared" si="9"/>
        <v>0.27473700259185851</v>
      </c>
      <c r="AF60" s="63">
        <v>0</v>
      </c>
      <c r="AG60" s="63">
        <v>0</v>
      </c>
      <c r="AH60" s="66">
        <f t="shared" si="10"/>
        <v>0.22883064516129031</v>
      </c>
      <c r="AI60" s="68">
        <v>2.9739583333333332E-4</v>
      </c>
      <c r="AJ60" s="68">
        <v>1.0632447916666668E-3</v>
      </c>
      <c r="AK60" s="70">
        <v>884</v>
      </c>
      <c r="AL60" s="72">
        <v>6.090169992609018E-2</v>
      </c>
      <c r="AM60" s="75">
        <f t="shared" si="11"/>
        <v>6.5380070894052775E-2</v>
      </c>
      <c r="AN60" s="75">
        <f t="shared" si="12"/>
        <v>9.4489634941387788</v>
      </c>
      <c r="AO60" s="75">
        <f t="shared" si="13"/>
        <v>9.0608679945979168E-2</v>
      </c>
    </row>
    <row r="61" spans="1:41" ht="14.5">
      <c r="A61" s="47">
        <v>2013</v>
      </c>
      <c r="B61" s="49" t="s">
        <v>269</v>
      </c>
      <c r="C61" s="49" t="s">
        <v>270</v>
      </c>
      <c r="D61" s="77" t="s">
        <v>105</v>
      </c>
      <c r="E61" s="47">
        <v>2270</v>
      </c>
      <c r="F61" s="47">
        <v>9674</v>
      </c>
      <c r="G61" s="47">
        <v>1501</v>
      </c>
      <c r="H61" s="47">
        <v>403</v>
      </c>
      <c r="I61" s="47">
        <v>3633</v>
      </c>
      <c r="J61" s="47">
        <v>-2040</v>
      </c>
      <c r="K61" s="47">
        <v>695</v>
      </c>
      <c r="L61" s="47">
        <v>294</v>
      </c>
      <c r="M61" s="47">
        <v>1236</v>
      </c>
      <c r="N61" s="47">
        <v>6567</v>
      </c>
      <c r="O61" s="47">
        <v>1246</v>
      </c>
      <c r="P61" s="51">
        <v>1392</v>
      </c>
      <c r="Q61" s="51">
        <v>0</v>
      </c>
      <c r="R61" s="51">
        <v>5646</v>
      </c>
      <c r="S61" s="47">
        <v>12</v>
      </c>
      <c r="T61" s="51">
        <v>12</v>
      </c>
      <c r="U61" s="47">
        <v>1040</v>
      </c>
      <c r="V61" s="53">
        <v>-2230</v>
      </c>
      <c r="W61" s="53">
        <f t="shared" si="1"/>
        <v>9705</v>
      </c>
      <c r="X61" s="58">
        <f t="shared" si="2"/>
        <v>0.14343122102009273</v>
      </c>
      <c r="Y61" s="55">
        <f t="shared" si="3"/>
        <v>4836</v>
      </c>
      <c r="Z61" s="58">
        <f t="shared" si="4"/>
        <v>0.80016181229773464</v>
      </c>
      <c r="AA61" s="60">
        <f t="shared" si="5"/>
        <v>2599</v>
      </c>
      <c r="AB61" s="58">
        <f t="shared" si="6"/>
        <v>0.76855488939425265</v>
      </c>
      <c r="AC61" s="58">
        <f t="shared" si="7"/>
        <v>0.26585193057031525</v>
      </c>
      <c r="AD61" s="58">
        <f t="shared" si="8"/>
        <v>0.3755426917510854</v>
      </c>
      <c r="AE61" s="58">
        <f t="shared" si="9"/>
        <v>0.22068721218561813</v>
      </c>
      <c r="AF61" s="63">
        <v>0</v>
      </c>
      <c r="AG61" s="63">
        <v>0</v>
      </c>
      <c r="AH61" s="66">
        <f t="shared" si="10"/>
        <v>0.75124069478908184</v>
      </c>
      <c r="AI61" s="68">
        <v>1.9756079404466501E-4</v>
      </c>
      <c r="AJ61" s="68">
        <v>9.6013895781637713E-4</v>
      </c>
      <c r="AK61" s="70">
        <v>836</v>
      </c>
      <c r="AL61" s="72">
        <v>5.1423641069887838E-2</v>
      </c>
      <c r="AM61" s="75">
        <f t="shared" si="11"/>
        <v>-0.23051478188960101</v>
      </c>
      <c r="AN61" s="75">
        <f t="shared" si="12"/>
        <v>9.1771971533829291</v>
      </c>
      <c r="AO61" s="75">
        <f t="shared" si="13"/>
        <v>-0.26324329448867306</v>
      </c>
    </row>
    <row r="62" spans="1:41" ht="14.5">
      <c r="A62" s="47">
        <v>2014</v>
      </c>
      <c r="B62" s="49" t="s">
        <v>269</v>
      </c>
      <c r="C62" s="49" t="s">
        <v>270</v>
      </c>
      <c r="D62" s="77" t="s">
        <v>105</v>
      </c>
      <c r="E62" s="47">
        <v>1649</v>
      </c>
      <c r="F62" s="47">
        <v>9134</v>
      </c>
      <c r="G62" s="47">
        <v>1013</v>
      </c>
      <c r="H62" s="47">
        <v>404</v>
      </c>
      <c r="I62" s="47">
        <v>3498</v>
      </c>
      <c r="J62" s="47">
        <v>-943</v>
      </c>
      <c r="K62" s="47">
        <v>483</v>
      </c>
      <c r="L62" s="47">
        <v>239</v>
      </c>
      <c r="M62" s="47">
        <v>984</v>
      </c>
      <c r="N62" s="47">
        <v>6263</v>
      </c>
      <c r="O62" s="47">
        <v>1220</v>
      </c>
      <c r="P62" s="51">
        <v>1870</v>
      </c>
      <c r="Q62" s="51">
        <v>0</v>
      </c>
      <c r="R62" s="51">
        <v>5350</v>
      </c>
      <c r="S62" s="47">
        <v>9</v>
      </c>
      <c r="T62" s="51">
        <v>9</v>
      </c>
      <c r="U62" s="47">
        <v>1040</v>
      </c>
      <c r="V62" s="53">
        <v>-58</v>
      </c>
      <c r="W62" s="53">
        <f t="shared" si="1"/>
        <v>8118</v>
      </c>
      <c r="X62" s="58">
        <f t="shared" si="2"/>
        <v>0.23035230352303523</v>
      </c>
      <c r="Y62" s="55">
        <f t="shared" si="3"/>
        <v>3636</v>
      </c>
      <c r="Z62" s="58">
        <f t="shared" si="4"/>
        <v>0.73373983739837401</v>
      </c>
      <c r="AA62" s="60">
        <f t="shared" si="5"/>
        <v>2833</v>
      </c>
      <c r="AB62" s="58">
        <f t="shared" si="6"/>
        <v>0.70823297569520471</v>
      </c>
      <c r="AC62" s="58">
        <f t="shared" si="7"/>
        <v>0.18934579439252336</v>
      </c>
      <c r="AD62" s="58">
        <f t="shared" si="8"/>
        <v>0.38296474709875189</v>
      </c>
      <c r="AE62" s="58">
        <f t="shared" si="9"/>
        <v>0.22803738317757008</v>
      </c>
      <c r="AF62" s="63">
        <v>0</v>
      </c>
      <c r="AG62" s="63">
        <v>0</v>
      </c>
      <c r="AH62" s="66">
        <f t="shared" si="10"/>
        <v>0.96204620462046209</v>
      </c>
      <c r="AI62" s="68">
        <v>2.1289356435643563E-4</v>
      </c>
      <c r="AJ62" s="68">
        <v>1.6366584158415841E-3</v>
      </c>
      <c r="AK62" s="70">
        <v>785</v>
      </c>
      <c r="AL62" s="72">
        <v>4.8157606712878498E-2</v>
      </c>
      <c r="AM62" s="75">
        <f t="shared" si="11"/>
        <v>-6.349901467046201E-3</v>
      </c>
      <c r="AN62" s="75">
        <f t="shared" si="12"/>
        <v>9.119758993744945</v>
      </c>
      <c r="AO62" s="75">
        <f t="shared" si="13"/>
        <v>-0.34498217770095885</v>
      </c>
    </row>
    <row r="63" spans="1:41" ht="14.5">
      <c r="A63" s="47">
        <v>2015</v>
      </c>
      <c r="B63" s="49" t="s">
        <v>269</v>
      </c>
      <c r="C63" s="49" t="s">
        <v>270</v>
      </c>
      <c r="D63" s="77" t="s">
        <v>105</v>
      </c>
      <c r="E63" s="47">
        <v>1350</v>
      </c>
      <c r="F63" s="47">
        <v>7284</v>
      </c>
      <c r="G63" s="47">
        <v>664</v>
      </c>
      <c r="H63" s="47">
        <v>405</v>
      </c>
      <c r="I63" s="47">
        <v>2637</v>
      </c>
      <c r="J63" s="47">
        <v>80</v>
      </c>
      <c r="K63" s="47">
        <v>508</v>
      </c>
      <c r="L63" s="47">
        <v>159</v>
      </c>
      <c r="M63" s="47">
        <v>707</v>
      </c>
      <c r="N63" s="47">
        <v>4817</v>
      </c>
      <c r="O63" s="47">
        <v>1139</v>
      </c>
      <c r="P63" s="51">
        <v>1420</v>
      </c>
      <c r="Q63" s="51">
        <v>0</v>
      </c>
      <c r="R63" s="51">
        <v>4142</v>
      </c>
      <c r="S63" s="47">
        <v>7</v>
      </c>
      <c r="T63" s="51">
        <v>7</v>
      </c>
      <c r="U63" s="47">
        <v>1040</v>
      </c>
      <c r="V63" s="53">
        <v>-85</v>
      </c>
      <c r="W63" s="53">
        <f t="shared" si="1"/>
        <v>6179</v>
      </c>
      <c r="X63" s="58">
        <f t="shared" si="2"/>
        <v>0.22981064897232562</v>
      </c>
      <c r="Y63" s="55">
        <f t="shared" si="3"/>
        <v>2835</v>
      </c>
      <c r="Z63" s="58">
        <f t="shared" si="4"/>
        <v>0.94342291371994347</v>
      </c>
      <c r="AA63" s="60">
        <f t="shared" si="5"/>
        <v>1994</v>
      </c>
      <c r="AB63" s="58">
        <f t="shared" si="6"/>
        <v>0.66295991213618888</v>
      </c>
      <c r="AC63" s="58">
        <f t="shared" si="7"/>
        <v>0.16030902945436987</v>
      </c>
      <c r="AD63" s="58">
        <f t="shared" si="8"/>
        <v>0.36202635914332787</v>
      </c>
      <c r="AE63" s="58">
        <f t="shared" si="9"/>
        <v>0.27498792853693865</v>
      </c>
      <c r="AF63" s="63">
        <v>0</v>
      </c>
      <c r="AG63" s="63">
        <v>0</v>
      </c>
      <c r="AH63" s="66">
        <f t="shared" si="10"/>
        <v>0.93015873015873018</v>
      </c>
      <c r="AI63" s="68">
        <v>5.1615555555555557E-4</v>
      </c>
      <c r="AJ63" s="68">
        <v>2.1183975308641974E-3</v>
      </c>
      <c r="AK63" s="70">
        <v>712</v>
      </c>
      <c r="AL63" s="72">
        <v>5.9278350515463929E-2</v>
      </c>
      <c r="AM63" s="75">
        <f t="shared" si="11"/>
        <v>-1.1669412410763316E-2</v>
      </c>
      <c r="AN63" s="75">
        <f t="shared" si="12"/>
        <v>8.8934354408474992</v>
      </c>
      <c r="AO63" s="75">
        <f t="shared" si="13"/>
        <v>-0.4110407549739567</v>
      </c>
    </row>
    <row r="64" spans="1:41" ht="14.5">
      <c r="A64" s="47">
        <v>2016</v>
      </c>
      <c r="B64" s="49" t="s">
        <v>269</v>
      </c>
      <c r="C64" s="49" t="s">
        <v>270</v>
      </c>
      <c r="D64" s="49" t="s">
        <v>105</v>
      </c>
      <c r="E64" s="47">
        <v>1166</v>
      </c>
      <c r="F64" s="47">
        <v>7153</v>
      </c>
      <c r="G64" s="47">
        <v>706</v>
      </c>
      <c r="H64" s="47">
        <v>408</v>
      </c>
      <c r="I64" s="47">
        <v>2144</v>
      </c>
      <c r="J64" s="47">
        <v>-702</v>
      </c>
      <c r="K64" s="47">
        <v>239</v>
      </c>
      <c r="L64" s="47">
        <v>170</v>
      </c>
      <c r="M64" s="47">
        <v>760</v>
      </c>
      <c r="N64" s="47">
        <v>4399</v>
      </c>
      <c r="O64" s="47">
        <v>1186</v>
      </c>
      <c r="P64" s="47">
        <v>1507</v>
      </c>
      <c r="Q64" s="47">
        <v>0</v>
      </c>
      <c r="R64" s="47">
        <v>4223</v>
      </c>
      <c r="S64" s="47">
        <v>11</v>
      </c>
      <c r="T64" s="51">
        <v>11</v>
      </c>
      <c r="U64" s="47">
        <v>1040</v>
      </c>
      <c r="V64" s="53">
        <v>63</v>
      </c>
      <c r="W64" s="53">
        <f t="shared" si="1"/>
        <v>7392</v>
      </c>
      <c r="X64" s="58">
        <f t="shared" si="2"/>
        <v>0.20386904761904762</v>
      </c>
      <c r="Y64" s="55">
        <f t="shared" si="3"/>
        <v>4488</v>
      </c>
      <c r="Z64" s="58">
        <f t="shared" si="4"/>
        <v>0.53815789473684206</v>
      </c>
      <c r="AA64" s="60">
        <f t="shared" si="5"/>
        <v>1738</v>
      </c>
      <c r="AB64" s="58">
        <f t="shared" si="6"/>
        <v>0.87040402628267854</v>
      </c>
      <c r="AC64" s="58">
        <f t="shared" si="7"/>
        <v>0.16717973004972769</v>
      </c>
      <c r="AD64" s="58">
        <f t="shared" si="8"/>
        <v>0.29973437718439816</v>
      </c>
      <c r="AE64" s="58">
        <f t="shared" si="9"/>
        <v>0.28084300260478334</v>
      </c>
      <c r="AF64" s="63">
        <v>0</v>
      </c>
      <c r="AG64" s="63">
        <v>0</v>
      </c>
      <c r="AH64" s="66">
        <f t="shared" si="10"/>
        <v>0.47771836007130125</v>
      </c>
      <c r="AI64" s="68">
        <v>5.5332598039215691E-4</v>
      </c>
      <c r="AJ64" s="68">
        <v>2.2080196078431372E-3</v>
      </c>
      <c r="AK64" s="70">
        <v>744</v>
      </c>
      <c r="AL64" s="72">
        <v>3.3782129742962054E-2</v>
      </c>
      <c r="AM64" s="75">
        <f t="shared" si="11"/>
        <v>8.8074933594296106E-3</v>
      </c>
      <c r="AN64" s="75">
        <f t="shared" si="12"/>
        <v>8.8752871281083845</v>
      </c>
      <c r="AO64" s="75">
        <f t="shared" si="13"/>
        <v>-0.13879777710683042</v>
      </c>
    </row>
    <row r="65" spans="1:41" ht="14.5">
      <c r="A65" s="47">
        <v>2017</v>
      </c>
      <c r="B65" s="49" t="s">
        <v>269</v>
      </c>
      <c r="C65" s="49" t="s">
        <v>270</v>
      </c>
      <c r="D65" s="49" t="s">
        <v>105</v>
      </c>
      <c r="E65" s="47">
        <v>1493</v>
      </c>
      <c r="F65" s="47">
        <v>7219</v>
      </c>
      <c r="G65" s="47">
        <v>829</v>
      </c>
      <c r="H65" s="47">
        <v>410</v>
      </c>
      <c r="I65" s="47">
        <v>2230</v>
      </c>
      <c r="J65" s="47">
        <v>-862</v>
      </c>
      <c r="K65" s="47">
        <v>240</v>
      </c>
      <c r="L65" s="47">
        <v>160</v>
      </c>
      <c r="M65" s="47">
        <v>855</v>
      </c>
      <c r="N65" s="47">
        <v>4515</v>
      </c>
      <c r="O65" s="47">
        <v>997</v>
      </c>
      <c r="P65" s="47">
        <v>1592</v>
      </c>
      <c r="Q65" s="47">
        <v>0</v>
      </c>
      <c r="R65" s="47">
        <v>4510</v>
      </c>
      <c r="S65" s="47">
        <v>10</v>
      </c>
      <c r="T65" s="51">
        <v>10</v>
      </c>
      <c r="U65" s="47">
        <v>1040</v>
      </c>
      <c r="V65" s="53">
        <v>-191</v>
      </c>
      <c r="W65" s="53">
        <f t="shared" si="1"/>
        <v>7185</v>
      </c>
      <c r="X65" s="58">
        <f t="shared" si="2"/>
        <v>0.22157272094641614</v>
      </c>
      <c r="Y65" s="55">
        <f t="shared" si="3"/>
        <v>4100</v>
      </c>
      <c r="Z65" s="58">
        <f t="shared" si="4"/>
        <v>0.46783625730994149</v>
      </c>
      <c r="AA65" s="60">
        <f t="shared" si="5"/>
        <v>1592</v>
      </c>
      <c r="AB65" s="58">
        <f t="shared" si="6"/>
        <v>0.78847485801357531</v>
      </c>
      <c r="AC65" s="58">
        <f t="shared" si="7"/>
        <v>0.18381374722838137</v>
      </c>
      <c r="AD65" s="58">
        <f t="shared" si="8"/>
        <v>0.30890705083806619</v>
      </c>
      <c r="AE65" s="58">
        <f t="shared" si="9"/>
        <v>0.22106430155210643</v>
      </c>
      <c r="AF65" s="63">
        <v>0</v>
      </c>
      <c r="AG65" s="63">
        <v>0</v>
      </c>
      <c r="AH65" s="66">
        <f t="shared" si="10"/>
        <v>0.54390243902439028</v>
      </c>
      <c r="AI65" s="68">
        <v>6.4569024390243902E-4</v>
      </c>
      <c r="AJ65" s="68">
        <v>2.168819512195122E-3</v>
      </c>
      <c r="AK65" s="70">
        <v>789</v>
      </c>
      <c r="AL65" s="72">
        <v>3.5353535353535352E-2</v>
      </c>
      <c r="AM65" s="75">
        <f t="shared" si="11"/>
        <v>-2.6457958165950961E-2</v>
      </c>
      <c r="AN65" s="75">
        <f t="shared" si="12"/>
        <v>8.8844717181391601</v>
      </c>
      <c r="AO65" s="75">
        <f t="shared" si="13"/>
        <v>-0.23765475892941801</v>
      </c>
    </row>
    <row r="66" spans="1:41" ht="14.5">
      <c r="A66" s="40">
        <v>2009</v>
      </c>
      <c r="B66" s="41" t="s">
        <v>301</v>
      </c>
      <c r="C66" s="41" t="s">
        <v>302</v>
      </c>
      <c r="D66" s="41" t="s">
        <v>105</v>
      </c>
      <c r="E66" s="40">
        <v>491</v>
      </c>
      <c r="F66" s="40">
        <v>3436</v>
      </c>
      <c r="G66" s="40">
        <v>107</v>
      </c>
      <c r="H66" s="40">
        <v>537</v>
      </c>
      <c r="I66" s="40">
        <v>135</v>
      </c>
      <c r="J66" s="40">
        <v>-14</v>
      </c>
      <c r="K66" s="40">
        <v>329</v>
      </c>
      <c r="L66" s="40">
        <v>17</v>
      </c>
      <c r="M66" s="40">
        <v>218</v>
      </c>
      <c r="N66" s="40">
        <v>769</v>
      </c>
      <c r="O66" s="40">
        <v>192</v>
      </c>
      <c r="P66" s="40">
        <v>0</v>
      </c>
      <c r="Q66" s="40">
        <v>0</v>
      </c>
      <c r="R66" s="40">
        <v>358</v>
      </c>
      <c r="S66" s="40">
        <v>14</v>
      </c>
      <c r="T66" s="91">
        <v>14</v>
      </c>
      <c r="U66" s="40">
        <v>1040</v>
      </c>
      <c r="V66" s="91">
        <v>102</v>
      </c>
      <c r="W66" s="93">
        <f t="shared" si="1"/>
        <v>7871</v>
      </c>
      <c r="X66" s="50">
        <f t="shared" si="2"/>
        <v>0</v>
      </c>
      <c r="Y66" s="93">
        <f t="shared" si="3"/>
        <v>7518</v>
      </c>
      <c r="Z66" s="50">
        <f t="shared" si="4"/>
        <v>1.5871559633027523</v>
      </c>
      <c r="AA66">
        <f t="shared" si="5"/>
        <v>-138</v>
      </c>
      <c r="AB66" s="50">
        <f t="shared" si="6"/>
        <v>2.147846332945285</v>
      </c>
      <c r="AC66" s="50">
        <f t="shared" si="7"/>
        <v>0.2988826815642458</v>
      </c>
      <c r="AD66" s="50">
        <f t="shared" si="8"/>
        <v>3.928987194412107E-2</v>
      </c>
      <c r="AE66" s="50">
        <f t="shared" si="9"/>
        <v>0.53631284916201116</v>
      </c>
      <c r="AF66" s="96">
        <v>0</v>
      </c>
      <c r="AG66" s="96">
        <v>0</v>
      </c>
      <c r="AH66" s="100">
        <f t="shared" si="10"/>
        <v>1.7956903431763767E-2</v>
      </c>
      <c r="AI66" s="101">
        <v>2.3277467411545624E-4</v>
      </c>
      <c r="AJ66" s="101">
        <v>6.8253705772811915E-3</v>
      </c>
      <c r="AK66" s="102">
        <v>337</v>
      </c>
      <c r="AL66" s="103">
        <v>0</v>
      </c>
      <c r="AM66" s="75">
        <f t="shared" si="11"/>
        <v>2.9685681024447033E-2</v>
      </c>
      <c r="AN66" s="75">
        <f t="shared" si="12"/>
        <v>8.1420632831041466</v>
      </c>
      <c r="AO66" s="75">
        <f t="shared" si="13"/>
        <v>0.76446563449037208</v>
      </c>
    </row>
    <row r="67" spans="1:41" ht="14.5">
      <c r="A67" s="40">
        <v>2010</v>
      </c>
      <c r="B67" s="41" t="s">
        <v>301</v>
      </c>
      <c r="C67" s="41" t="s">
        <v>302</v>
      </c>
      <c r="D67" s="134" t="s">
        <v>105</v>
      </c>
      <c r="E67" s="40">
        <v>565</v>
      </c>
      <c r="F67" s="40">
        <v>3780</v>
      </c>
      <c r="G67" s="40">
        <v>226</v>
      </c>
      <c r="H67" s="40">
        <v>548</v>
      </c>
      <c r="I67" s="40">
        <v>68</v>
      </c>
      <c r="J67" s="40">
        <v>-221</v>
      </c>
      <c r="K67" s="40">
        <v>375</v>
      </c>
      <c r="L67" s="40">
        <v>20</v>
      </c>
      <c r="M67" s="40">
        <v>254</v>
      </c>
      <c r="N67" s="40">
        <v>777</v>
      </c>
      <c r="O67" s="40">
        <v>292</v>
      </c>
      <c r="P67" s="91">
        <v>0</v>
      </c>
      <c r="Q67" s="91">
        <v>0</v>
      </c>
      <c r="R67" s="91">
        <v>791</v>
      </c>
      <c r="S67" s="40">
        <v>19</v>
      </c>
      <c r="T67" s="91">
        <v>19</v>
      </c>
      <c r="U67" s="40">
        <v>1040</v>
      </c>
      <c r="V67" s="91">
        <v>206</v>
      </c>
      <c r="W67" s="138">
        <f t="shared" si="1"/>
        <v>10734</v>
      </c>
      <c r="X67" s="50">
        <f t="shared" si="2"/>
        <v>0</v>
      </c>
      <c r="Y67" s="93">
        <f t="shared" si="3"/>
        <v>10412</v>
      </c>
      <c r="Z67" s="50">
        <f t="shared" si="4"/>
        <v>1.5551181102362204</v>
      </c>
      <c r="AA67">
        <f t="shared" si="5"/>
        <v>-243</v>
      </c>
      <c r="AB67" s="50">
        <f t="shared" si="6"/>
        <v>2.6902116402116403</v>
      </c>
      <c r="AC67" s="50">
        <f t="shared" si="7"/>
        <v>0.2857142857142857</v>
      </c>
      <c r="AD67" s="50">
        <f t="shared" si="8"/>
        <v>1.7989417989417989E-2</v>
      </c>
      <c r="AE67" s="50">
        <f t="shared" si="9"/>
        <v>0.36915297092288241</v>
      </c>
      <c r="AF67" s="96">
        <v>0</v>
      </c>
      <c r="AG67" s="96">
        <v>0</v>
      </c>
      <c r="AH67" s="100">
        <f t="shared" si="10"/>
        <v>6.5309258547829431E-3</v>
      </c>
      <c r="AI67" s="101">
        <v>2.2810218978102189E-4</v>
      </c>
      <c r="AJ67" s="101">
        <v>4.2080310218978101E-3</v>
      </c>
      <c r="AK67" s="102">
        <v>423</v>
      </c>
      <c r="AL67" s="103">
        <v>1.0637909056073572E-2</v>
      </c>
      <c r="AM67" s="75">
        <f t="shared" si="11"/>
        <v>5.4497354497354496E-2</v>
      </c>
      <c r="AN67" s="75">
        <f t="shared" si="12"/>
        <v>8.237479288613633</v>
      </c>
      <c r="AO67" s="75">
        <f t="shared" si="13"/>
        <v>0.98961986717750405</v>
      </c>
    </row>
    <row r="68" spans="1:41" ht="14.5">
      <c r="A68" s="40">
        <v>2011</v>
      </c>
      <c r="B68" s="41" t="s">
        <v>301</v>
      </c>
      <c r="C68" s="41" t="s">
        <v>302</v>
      </c>
      <c r="D68" s="134" t="s">
        <v>105</v>
      </c>
      <c r="E68" s="40">
        <v>658</v>
      </c>
      <c r="F68" s="40">
        <v>3960</v>
      </c>
      <c r="G68" s="40">
        <v>273</v>
      </c>
      <c r="H68" s="40">
        <v>551</v>
      </c>
      <c r="I68" s="40">
        <v>0</v>
      </c>
      <c r="J68" s="40">
        <v>-293</v>
      </c>
      <c r="K68" s="40">
        <v>452</v>
      </c>
      <c r="L68" s="40">
        <v>20</v>
      </c>
      <c r="M68" s="40">
        <v>249</v>
      </c>
      <c r="N68" s="40">
        <v>649</v>
      </c>
      <c r="O68" s="40">
        <v>512</v>
      </c>
      <c r="P68" s="91">
        <v>190</v>
      </c>
      <c r="Q68" s="91">
        <v>0</v>
      </c>
      <c r="R68" s="91">
        <v>1099</v>
      </c>
      <c r="S68" s="40">
        <v>14</v>
      </c>
      <c r="T68" s="91">
        <v>14</v>
      </c>
      <c r="U68" s="40">
        <v>1040</v>
      </c>
      <c r="V68" s="91">
        <v>319</v>
      </c>
      <c r="W68" s="138">
        <f t="shared" si="1"/>
        <v>7963</v>
      </c>
      <c r="X68" s="50">
        <f t="shared" si="2"/>
        <v>2.3860354137887729E-2</v>
      </c>
      <c r="Y68" s="93">
        <f t="shared" si="3"/>
        <v>7714</v>
      </c>
      <c r="Z68" s="50">
        <f t="shared" si="4"/>
        <v>1.8955823293172691</v>
      </c>
      <c r="AA68">
        <f t="shared" si="5"/>
        <v>-409</v>
      </c>
      <c r="AB68" s="50">
        <f t="shared" si="6"/>
        <v>1.8446969696969697</v>
      </c>
      <c r="AC68" s="50">
        <f t="shared" si="7"/>
        <v>0.24840764331210191</v>
      </c>
      <c r="AD68" s="50">
        <f t="shared" si="8"/>
        <v>0</v>
      </c>
      <c r="AE68" s="50">
        <f t="shared" si="9"/>
        <v>0.46587807097361239</v>
      </c>
      <c r="AF68" s="96">
        <v>0</v>
      </c>
      <c r="AG68" s="96">
        <v>0</v>
      </c>
      <c r="AH68" s="100">
        <f t="shared" si="10"/>
        <v>0</v>
      </c>
      <c r="AI68" s="101">
        <v>3.8233212341197821E-4</v>
      </c>
      <c r="AJ68" s="101">
        <v>3.5978148820326678E-3</v>
      </c>
      <c r="AK68" s="102">
        <v>398</v>
      </c>
      <c r="AL68" s="103">
        <v>5.1730418943533696E-2</v>
      </c>
      <c r="AM68" s="75">
        <f t="shared" si="11"/>
        <v>8.0555555555555561E-2</v>
      </c>
      <c r="AN68" s="75">
        <f t="shared" si="12"/>
        <v>8.2839993042485265</v>
      </c>
      <c r="AO68" s="75">
        <f t="shared" si="13"/>
        <v>0.61231501993627369</v>
      </c>
    </row>
    <row r="69" spans="1:41" ht="14.5">
      <c r="A69" s="40">
        <v>2012</v>
      </c>
      <c r="B69" s="41" t="s">
        <v>301</v>
      </c>
      <c r="C69" s="41" t="s">
        <v>302</v>
      </c>
      <c r="D69" s="134" t="s">
        <v>105</v>
      </c>
      <c r="E69" s="40">
        <v>1152</v>
      </c>
      <c r="F69" s="40">
        <v>7928</v>
      </c>
      <c r="G69" s="40">
        <v>426</v>
      </c>
      <c r="H69" s="40">
        <v>714</v>
      </c>
      <c r="I69" s="40">
        <v>583</v>
      </c>
      <c r="J69" s="40">
        <v>-296</v>
      </c>
      <c r="K69" s="40">
        <v>819</v>
      </c>
      <c r="L69" s="40">
        <v>87</v>
      </c>
      <c r="M69" s="40">
        <v>235</v>
      </c>
      <c r="N69" s="40">
        <v>1715</v>
      </c>
      <c r="O69" s="40">
        <v>295</v>
      </c>
      <c r="P69" s="91">
        <v>289</v>
      </c>
      <c r="Q69" s="91">
        <v>0</v>
      </c>
      <c r="R69" s="91">
        <v>1148</v>
      </c>
      <c r="S69" s="40">
        <v>13</v>
      </c>
      <c r="T69" s="91">
        <v>13</v>
      </c>
      <c r="U69" s="40">
        <v>1040</v>
      </c>
      <c r="V69" s="91">
        <v>305</v>
      </c>
      <c r="W69" s="138">
        <f t="shared" si="1"/>
        <v>10100</v>
      </c>
      <c r="X69" s="50">
        <f t="shared" si="2"/>
        <v>2.8613861386138615E-2</v>
      </c>
      <c r="Y69" s="93">
        <f t="shared" si="3"/>
        <v>9282</v>
      </c>
      <c r="Z69" s="50">
        <f t="shared" si="4"/>
        <v>3.8553191489361702</v>
      </c>
      <c r="AA69">
        <f t="shared" si="5"/>
        <v>-334</v>
      </c>
      <c r="AB69" s="50">
        <f t="shared" si="6"/>
        <v>1.1286579212916246</v>
      </c>
      <c r="AC69" s="50">
        <f t="shared" si="7"/>
        <v>0.3710801393728223</v>
      </c>
      <c r="AD69" s="50">
        <f t="shared" si="8"/>
        <v>7.3536831483350149E-2</v>
      </c>
      <c r="AE69" s="50">
        <f t="shared" si="9"/>
        <v>0.25696864111498258</v>
      </c>
      <c r="AF69" s="96">
        <v>0</v>
      </c>
      <c r="AG69" s="96">
        <v>0</v>
      </c>
      <c r="AH69" s="100">
        <f t="shared" si="10"/>
        <v>6.2809739280327515E-2</v>
      </c>
      <c r="AI69" s="101">
        <v>1.0909957983193277E-3</v>
      </c>
      <c r="AJ69" s="101">
        <v>5.0970490196078433E-3</v>
      </c>
      <c r="AK69" s="102">
        <v>554</v>
      </c>
      <c r="AL69" s="103">
        <v>5.172984749455338E-2</v>
      </c>
      <c r="AM69" s="75">
        <f t="shared" si="11"/>
        <v>3.8471241170534812E-2</v>
      </c>
      <c r="AN69" s="75">
        <f t="shared" si="12"/>
        <v>8.9781560760098245</v>
      </c>
      <c r="AO69" s="75">
        <f t="shared" si="13"/>
        <v>0.12102924660019626</v>
      </c>
    </row>
    <row r="70" spans="1:41" ht="14.5">
      <c r="A70" s="40">
        <v>2013</v>
      </c>
      <c r="B70" s="41" t="s">
        <v>301</v>
      </c>
      <c r="C70" s="41" t="s">
        <v>302</v>
      </c>
      <c r="D70" s="41" t="s">
        <v>105</v>
      </c>
      <c r="E70" s="40">
        <v>962</v>
      </c>
      <c r="F70" s="40">
        <v>7235</v>
      </c>
      <c r="G70" s="40">
        <v>482</v>
      </c>
      <c r="H70" s="40">
        <v>715</v>
      </c>
      <c r="I70" s="40">
        <v>585</v>
      </c>
      <c r="J70" s="40">
        <v>-494</v>
      </c>
      <c r="K70" s="40">
        <v>629</v>
      </c>
      <c r="L70" s="40">
        <v>49</v>
      </c>
      <c r="M70" s="40">
        <v>228</v>
      </c>
      <c r="N70" s="40">
        <v>1740</v>
      </c>
      <c r="O70" s="40">
        <v>356</v>
      </c>
      <c r="P70" s="40">
        <v>338</v>
      </c>
      <c r="Q70" s="40">
        <v>0</v>
      </c>
      <c r="R70" s="40">
        <v>1124</v>
      </c>
      <c r="S70" s="40">
        <v>6</v>
      </c>
      <c r="T70" s="91">
        <v>6</v>
      </c>
      <c r="U70" s="40">
        <v>1040</v>
      </c>
      <c r="V70" s="91">
        <v>-653</v>
      </c>
      <c r="W70" s="93">
        <f t="shared" si="1"/>
        <v>5103</v>
      </c>
      <c r="X70" s="50">
        <f t="shared" si="2"/>
        <v>6.6235547717029192E-2</v>
      </c>
      <c r="Y70" s="93">
        <f t="shared" si="3"/>
        <v>4290</v>
      </c>
      <c r="Z70" s="50">
        <f t="shared" si="4"/>
        <v>2.9736842105263159</v>
      </c>
      <c r="AA70">
        <f t="shared" si="5"/>
        <v>-149</v>
      </c>
      <c r="AB70" s="50">
        <f t="shared" si="6"/>
        <v>0.572356599861783</v>
      </c>
      <c r="AC70" s="50">
        <f t="shared" si="7"/>
        <v>0.42882562277580072</v>
      </c>
      <c r="AD70" s="50">
        <f t="shared" si="8"/>
        <v>8.085694540428473E-2</v>
      </c>
      <c r="AE70" s="50">
        <f t="shared" si="9"/>
        <v>0.31672597864768681</v>
      </c>
      <c r="AF70" s="96">
        <v>0</v>
      </c>
      <c r="AG70" s="96">
        <v>0</v>
      </c>
      <c r="AH70" s="100">
        <f t="shared" si="10"/>
        <v>0.13636363636363635</v>
      </c>
      <c r="AI70" s="101">
        <v>1.7912195804195804E-3</v>
      </c>
      <c r="AJ70" s="101">
        <v>8.0884517482517487E-3</v>
      </c>
      <c r="AK70" s="102">
        <v>551</v>
      </c>
      <c r="AL70" s="103">
        <v>9.2520231460722191E-2</v>
      </c>
      <c r="AM70" s="75">
        <f t="shared" si="11"/>
        <v>-9.0255701451278508E-2</v>
      </c>
      <c r="AN70" s="75">
        <f t="shared" si="12"/>
        <v>8.8866856390655844</v>
      </c>
      <c r="AO70" s="75">
        <f t="shared" si="13"/>
        <v>-0.55799305552001699</v>
      </c>
    </row>
    <row r="71" spans="1:41" ht="14.5">
      <c r="A71" s="40">
        <v>2014</v>
      </c>
      <c r="B71" s="41" t="s">
        <v>301</v>
      </c>
      <c r="C71" s="41" t="s">
        <v>302</v>
      </c>
      <c r="D71" s="41" t="s">
        <v>105</v>
      </c>
      <c r="E71" s="40">
        <v>847</v>
      </c>
      <c r="F71" s="40">
        <v>7394</v>
      </c>
      <c r="G71" s="40">
        <v>411</v>
      </c>
      <c r="H71" s="40">
        <v>715</v>
      </c>
      <c r="I71" s="40">
        <v>587</v>
      </c>
      <c r="J71" s="40">
        <v>-384</v>
      </c>
      <c r="K71" s="40">
        <v>506</v>
      </c>
      <c r="L71" s="40">
        <v>79</v>
      </c>
      <c r="M71" s="40">
        <v>201</v>
      </c>
      <c r="N71" s="40">
        <v>1816</v>
      </c>
      <c r="O71" s="40">
        <v>283</v>
      </c>
      <c r="P71" s="40">
        <v>423</v>
      </c>
      <c r="Q71" s="40">
        <v>0</v>
      </c>
      <c r="R71" s="40">
        <v>1068</v>
      </c>
      <c r="S71" s="40">
        <v>6</v>
      </c>
      <c r="T71" s="91">
        <v>6</v>
      </c>
      <c r="U71" s="40">
        <v>1040</v>
      </c>
      <c r="V71" s="91">
        <v>103</v>
      </c>
      <c r="W71" s="93">
        <f t="shared" si="1"/>
        <v>5078</v>
      </c>
      <c r="X71" s="50">
        <f t="shared" si="2"/>
        <v>8.3300512012603384E-2</v>
      </c>
      <c r="Y71" s="93">
        <f t="shared" si="3"/>
        <v>4290</v>
      </c>
      <c r="Z71" s="50">
        <f t="shared" si="4"/>
        <v>2.91044776119403</v>
      </c>
      <c r="AA71">
        <f t="shared" si="5"/>
        <v>-59</v>
      </c>
      <c r="AB71" s="50">
        <f t="shared" si="6"/>
        <v>0.57222071950229914</v>
      </c>
      <c r="AC71" s="50">
        <f t="shared" si="7"/>
        <v>0.3848314606741573</v>
      </c>
      <c r="AD71" s="50">
        <f t="shared" si="8"/>
        <v>7.9388693535298885E-2</v>
      </c>
      <c r="AE71" s="50">
        <f t="shared" si="9"/>
        <v>0.26498127340823968</v>
      </c>
      <c r="AF71" s="96">
        <v>0</v>
      </c>
      <c r="AG71" s="96">
        <v>0</v>
      </c>
      <c r="AH71" s="100">
        <f t="shared" si="10"/>
        <v>0.13682983682983682</v>
      </c>
      <c r="AI71" s="101">
        <v>2.4950223776223778E-3</v>
      </c>
      <c r="AJ71" s="101">
        <v>1.0426439160839161E-2</v>
      </c>
      <c r="AK71" s="102">
        <v>557</v>
      </c>
      <c r="AL71" s="103">
        <v>8.1468302275493953E-2</v>
      </c>
      <c r="AM71" s="75">
        <f t="shared" si="11"/>
        <v>1.3930213686773059E-2</v>
      </c>
      <c r="AN71" s="75">
        <f t="shared" si="12"/>
        <v>8.908424139496578</v>
      </c>
      <c r="AO71" s="75">
        <f t="shared" si="13"/>
        <v>-0.55823048877650983</v>
      </c>
    </row>
    <row r="72" spans="1:41" ht="14.5">
      <c r="A72" s="40">
        <v>2015</v>
      </c>
      <c r="B72" s="41" t="s">
        <v>301</v>
      </c>
      <c r="C72" s="41" t="s">
        <v>302</v>
      </c>
      <c r="D72" s="41" t="s">
        <v>105</v>
      </c>
      <c r="E72" s="40">
        <v>572</v>
      </c>
      <c r="F72" s="40">
        <v>5464</v>
      </c>
      <c r="G72" s="40">
        <v>396</v>
      </c>
      <c r="H72" s="40">
        <v>716</v>
      </c>
      <c r="I72" s="40">
        <v>589</v>
      </c>
      <c r="J72" s="40">
        <v>-393</v>
      </c>
      <c r="K72" s="40">
        <v>311</v>
      </c>
      <c r="L72" s="40">
        <v>48</v>
      </c>
      <c r="M72" s="40">
        <v>237</v>
      </c>
      <c r="N72" s="40">
        <v>1543</v>
      </c>
      <c r="O72" s="40">
        <v>222</v>
      </c>
      <c r="P72" s="40">
        <v>508</v>
      </c>
      <c r="Q72" s="40">
        <v>0</v>
      </c>
      <c r="R72" s="40">
        <v>863</v>
      </c>
      <c r="S72" s="40">
        <v>3</v>
      </c>
      <c r="T72" s="91">
        <v>3</v>
      </c>
      <c r="U72" s="40">
        <v>1040</v>
      </c>
      <c r="V72" s="91">
        <v>-1541</v>
      </c>
      <c r="W72" s="93">
        <f t="shared" si="1"/>
        <v>2974</v>
      </c>
      <c r="X72" s="50">
        <f t="shared" si="2"/>
        <v>0.17081371889710828</v>
      </c>
      <c r="Y72" s="93">
        <f t="shared" si="3"/>
        <v>2148</v>
      </c>
      <c r="Z72" s="50">
        <f t="shared" si="4"/>
        <v>1.5147679324894514</v>
      </c>
      <c r="AA72">
        <f t="shared" si="5"/>
        <v>254</v>
      </c>
      <c r="AB72" s="50">
        <f t="shared" si="6"/>
        <v>0.43960468521229867</v>
      </c>
      <c r="AC72" s="50">
        <f t="shared" si="7"/>
        <v>0.45886442641946695</v>
      </c>
      <c r="AD72" s="50">
        <f t="shared" si="8"/>
        <v>0.10779648609077599</v>
      </c>
      <c r="AE72" s="50">
        <f t="shared" si="9"/>
        <v>0.25724217844727693</v>
      </c>
      <c r="AF72" s="96">
        <v>0</v>
      </c>
      <c r="AG72" s="96">
        <v>0</v>
      </c>
      <c r="AH72" s="100">
        <f t="shared" si="10"/>
        <v>0.27420856610800742</v>
      </c>
      <c r="AI72" s="101">
        <v>3.2155446927374302E-3</v>
      </c>
      <c r="AJ72" s="101">
        <v>1.299588407821229E-2</v>
      </c>
      <c r="AK72" s="102">
        <v>606</v>
      </c>
      <c r="AL72" s="103">
        <v>4.5754662342175401E-2</v>
      </c>
      <c r="AM72" s="75">
        <f t="shared" si="11"/>
        <v>-0.28202781844802344</v>
      </c>
      <c r="AN72" s="75">
        <f t="shared" si="12"/>
        <v>8.6059364012506254</v>
      </c>
      <c r="AO72" s="75">
        <f t="shared" si="13"/>
        <v>-0.82187939861069714</v>
      </c>
    </row>
    <row r="73" spans="1:41" ht="14.5">
      <c r="A73" s="40">
        <v>2016</v>
      </c>
      <c r="B73" s="41" t="s">
        <v>301</v>
      </c>
      <c r="C73" s="41" t="s">
        <v>302</v>
      </c>
      <c r="D73" s="41" t="s">
        <v>105</v>
      </c>
      <c r="E73" s="40">
        <v>1092</v>
      </c>
      <c r="F73" s="40">
        <v>4798</v>
      </c>
      <c r="G73" s="40">
        <v>298</v>
      </c>
      <c r="H73" s="40">
        <v>716</v>
      </c>
      <c r="I73" s="40">
        <v>592</v>
      </c>
      <c r="J73" s="40">
        <v>481</v>
      </c>
      <c r="K73" s="40">
        <v>917</v>
      </c>
      <c r="L73" s="40">
        <v>41</v>
      </c>
      <c r="M73" s="40">
        <v>91</v>
      </c>
      <c r="N73" s="40">
        <v>1226</v>
      </c>
      <c r="O73" s="40">
        <v>114</v>
      </c>
      <c r="P73" s="40">
        <v>580</v>
      </c>
      <c r="Q73" s="40">
        <v>0</v>
      </c>
      <c r="R73" s="40">
        <v>433</v>
      </c>
      <c r="S73" s="40">
        <v>3</v>
      </c>
      <c r="T73" s="91">
        <v>3</v>
      </c>
      <c r="U73" s="40">
        <v>1040</v>
      </c>
      <c r="V73" s="91">
        <v>-344</v>
      </c>
      <c r="W73" s="93">
        <f t="shared" si="1"/>
        <v>2831</v>
      </c>
      <c r="X73" s="50">
        <f t="shared" si="2"/>
        <v>0.20487460261391735</v>
      </c>
      <c r="Y73" s="93">
        <f t="shared" si="3"/>
        <v>2148</v>
      </c>
      <c r="Z73" s="50">
        <f t="shared" si="4"/>
        <v>10.527472527472527</v>
      </c>
      <c r="AA73">
        <f t="shared" si="5"/>
        <v>-409</v>
      </c>
      <c r="AB73" s="50">
        <f t="shared" si="6"/>
        <v>0.36244268445185496</v>
      </c>
      <c r="AC73" s="50">
        <f t="shared" si="7"/>
        <v>0.68822170900692836</v>
      </c>
      <c r="AD73" s="50">
        <f t="shared" si="8"/>
        <v>0.12338474364318466</v>
      </c>
      <c r="AE73" s="50">
        <f t="shared" si="9"/>
        <v>0.26327944572748269</v>
      </c>
      <c r="AF73" s="96">
        <v>0</v>
      </c>
      <c r="AG73" s="96">
        <v>0</v>
      </c>
      <c r="AH73" s="100">
        <f t="shared" si="10"/>
        <v>0.27560521415270017</v>
      </c>
      <c r="AI73" s="101">
        <v>3.1263282122905027E-3</v>
      </c>
      <c r="AJ73" s="101">
        <v>1.3054099162011173E-2</v>
      </c>
      <c r="AK73" s="102">
        <v>621</v>
      </c>
      <c r="AL73" s="103">
        <v>6.8132882190095501E-2</v>
      </c>
      <c r="AM73" s="75">
        <f t="shared" si="11"/>
        <v>-7.1696540225093794E-2</v>
      </c>
      <c r="AN73" s="75">
        <f t="shared" si="12"/>
        <v>8.4759544433996403</v>
      </c>
      <c r="AO73" s="75">
        <f t="shared" si="13"/>
        <v>-1.0148889290453569</v>
      </c>
    </row>
    <row r="74" spans="1:41" ht="14.5">
      <c r="A74" s="40">
        <v>2017</v>
      </c>
      <c r="B74" s="41" t="s">
        <v>301</v>
      </c>
      <c r="C74" s="41" t="s">
        <v>302</v>
      </c>
      <c r="D74" s="41" t="s">
        <v>105</v>
      </c>
      <c r="E74" s="40">
        <v>738</v>
      </c>
      <c r="F74" s="40">
        <v>5090</v>
      </c>
      <c r="G74" s="40">
        <v>346</v>
      </c>
      <c r="H74" s="40">
        <v>792</v>
      </c>
      <c r="I74" s="40">
        <v>594</v>
      </c>
      <c r="J74" s="40">
        <v>-416</v>
      </c>
      <c r="K74" s="40">
        <v>490</v>
      </c>
      <c r="L74" s="40">
        <v>60</v>
      </c>
      <c r="M74" s="40">
        <v>114</v>
      </c>
      <c r="N74" s="40">
        <v>1367</v>
      </c>
      <c r="O74" s="40">
        <v>28</v>
      </c>
      <c r="P74" s="40">
        <v>609</v>
      </c>
      <c r="Q74" s="40">
        <v>0</v>
      </c>
      <c r="R74" s="40">
        <v>391</v>
      </c>
      <c r="S74" s="40">
        <v>1</v>
      </c>
      <c r="T74" s="91">
        <v>1</v>
      </c>
      <c r="U74" s="40">
        <v>1040</v>
      </c>
      <c r="V74" s="40">
        <v>-10</v>
      </c>
      <c r="W74" s="93">
        <f t="shared" si="1"/>
        <v>1500</v>
      </c>
      <c r="X74" s="50">
        <f t="shared" si="2"/>
        <v>0.40600000000000003</v>
      </c>
      <c r="Y74" s="93">
        <f t="shared" si="3"/>
        <v>792</v>
      </c>
      <c r="Z74" s="50">
        <f t="shared" si="4"/>
        <v>4.8245614035087723</v>
      </c>
      <c r="AA74">
        <f t="shared" si="5"/>
        <v>-30</v>
      </c>
      <c r="AB74" s="50">
        <f t="shared" si="6"/>
        <v>0.14970530451866404</v>
      </c>
      <c r="AC74" s="50">
        <f t="shared" si="7"/>
        <v>0.88491048593350385</v>
      </c>
      <c r="AD74" s="50">
        <f t="shared" si="8"/>
        <v>0.11669941060903732</v>
      </c>
      <c r="AE74" s="50">
        <f t="shared" si="9"/>
        <v>7.1611253196930943E-2</v>
      </c>
      <c r="AF74" s="96">
        <v>0</v>
      </c>
      <c r="AG74" s="96">
        <v>0</v>
      </c>
      <c r="AH74" s="100">
        <f t="shared" si="10"/>
        <v>0.75</v>
      </c>
      <c r="AI74" s="101">
        <v>1.6337032828282827E-3</v>
      </c>
      <c r="AJ74" s="101">
        <v>1.4777248737373738E-2</v>
      </c>
      <c r="AK74" s="102">
        <v>534</v>
      </c>
      <c r="AL74" s="103">
        <v>0.1484414920797138</v>
      </c>
      <c r="AM74" s="75">
        <f t="shared" si="11"/>
        <v>-1.9646365422396855E-3</v>
      </c>
      <c r="AN74" s="75">
        <f t="shared" si="12"/>
        <v>8.5350331095445693</v>
      </c>
      <c r="AO74" s="75">
        <f t="shared" si="13"/>
        <v>-1.8990865538579222</v>
      </c>
    </row>
    <row r="75" spans="1:41" ht="14.5">
      <c r="A75" s="47">
        <v>2009</v>
      </c>
      <c r="B75" s="49" t="s">
        <v>325</v>
      </c>
      <c r="C75" s="49" t="s">
        <v>326</v>
      </c>
      <c r="D75" s="49" t="s">
        <v>105</v>
      </c>
      <c r="E75" s="47">
        <v>583</v>
      </c>
      <c r="F75" s="47">
        <v>9707</v>
      </c>
      <c r="G75" s="47">
        <v>499</v>
      </c>
      <c r="H75" s="47">
        <v>733</v>
      </c>
      <c r="I75" s="47">
        <v>529</v>
      </c>
      <c r="J75" s="47">
        <v>-496</v>
      </c>
      <c r="K75" s="47">
        <v>170</v>
      </c>
      <c r="L75" s="47">
        <v>114</v>
      </c>
      <c r="M75" s="47">
        <v>322</v>
      </c>
      <c r="N75" s="47">
        <v>2912</v>
      </c>
      <c r="O75" s="47">
        <v>552</v>
      </c>
      <c r="P75" s="47">
        <v>678</v>
      </c>
      <c r="Q75" s="47">
        <v>0</v>
      </c>
      <c r="R75" s="47">
        <v>1183</v>
      </c>
      <c r="S75" s="47">
        <v>11</v>
      </c>
      <c r="T75" s="51">
        <v>11</v>
      </c>
      <c r="U75" s="47">
        <v>1040</v>
      </c>
      <c r="V75" s="53">
        <v>193</v>
      </c>
      <c r="W75" s="53">
        <f t="shared" si="1"/>
        <v>8914</v>
      </c>
      <c r="X75" s="58">
        <f t="shared" si="2"/>
        <v>7.6060130132376044E-2</v>
      </c>
      <c r="Y75" s="55">
        <f t="shared" si="3"/>
        <v>8063</v>
      </c>
      <c r="Z75" s="58">
        <f t="shared" si="4"/>
        <v>0.88198757763975155</v>
      </c>
      <c r="AA75" s="60">
        <f t="shared" si="5"/>
        <v>268</v>
      </c>
      <c r="AB75" s="58">
        <f t="shared" si="6"/>
        <v>0.85824662614608016</v>
      </c>
      <c r="AC75" s="58">
        <f t="shared" si="7"/>
        <v>0.42180896027049875</v>
      </c>
      <c r="AD75" s="58">
        <f t="shared" si="8"/>
        <v>5.4496754919130523E-2</v>
      </c>
      <c r="AE75" s="58">
        <f t="shared" si="9"/>
        <v>0.46661031276415893</v>
      </c>
      <c r="AF75" s="83">
        <v>0</v>
      </c>
      <c r="AG75" s="83">
        <v>0</v>
      </c>
      <c r="AH75" s="66">
        <f t="shared" si="10"/>
        <v>6.5608334366860976E-2</v>
      </c>
      <c r="AI75" s="68">
        <v>2.0924965893587993E-3</v>
      </c>
      <c r="AJ75" s="68">
        <v>2.9951118690313781E-3</v>
      </c>
      <c r="AK75" s="70">
        <v>357</v>
      </c>
      <c r="AL75" s="72">
        <v>0.39459265326482057</v>
      </c>
      <c r="AM75" s="75">
        <f t="shared" si="11"/>
        <v>1.9882558978057071E-2</v>
      </c>
      <c r="AN75" s="75">
        <f t="shared" si="12"/>
        <v>9.1806025537122267</v>
      </c>
      <c r="AO75" s="75">
        <f t="shared" si="13"/>
        <v>-0.15286377773731705</v>
      </c>
    </row>
    <row r="76" spans="1:41" ht="14.5">
      <c r="A76" s="47">
        <v>2010</v>
      </c>
      <c r="B76" s="49" t="s">
        <v>325</v>
      </c>
      <c r="C76" s="49" t="s">
        <v>326</v>
      </c>
      <c r="D76" s="49" t="s">
        <v>105</v>
      </c>
      <c r="E76" s="47">
        <v>928</v>
      </c>
      <c r="F76" s="47">
        <v>10299</v>
      </c>
      <c r="G76" s="47">
        <v>482</v>
      </c>
      <c r="H76" s="47">
        <v>741</v>
      </c>
      <c r="I76" s="47">
        <v>487</v>
      </c>
      <c r="J76" s="47">
        <v>-445</v>
      </c>
      <c r="K76" s="47">
        <v>330</v>
      </c>
      <c r="L76" s="47">
        <v>269</v>
      </c>
      <c r="M76" s="47">
        <v>399</v>
      </c>
      <c r="N76" s="47">
        <v>3008</v>
      </c>
      <c r="O76" s="47">
        <v>615</v>
      </c>
      <c r="P76" s="47">
        <v>791</v>
      </c>
      <c r="Q76" s="47">
        <v>0</v>
      </c>
      <c r="R76" s="47">
        <v>1687</v>
      </c>
      <c r="S76" s="47">
        <v>13</v>
      </c>
      <c r="T76" s="51">
        <v>13</v>
      </c>
      <c r="U76" s="47">
        <v>1040</v>
      </c>
      <c r="V76" s="53">
        <v>451</v>
      </c>
      <c r="W76" s="53">
        <f t="shared" si="1"/>
        <v>10519</v>
      </c>
      <c r="X76" s="58">
        <f t="shared" si="2"/>
        <v>7.5197262097157519E-2</v>
      </c>
      <c r="Y76" s="55">
        <f t="shared" si="3"/>
        <v>9633</v>
      </c>
      <c r="Z76" s="58">
        <f t="shared" si="4"/>
        <v>1.5012531328320802</v>
      </c>
      <c r="AA76" s="60">
        <f t="shared" si="5"/>
        <v>-42</v>
      </c>
      <c r="AB76" s="58">
        <f t="shared" si="6"/>
        <v>0.93125546169531026</v>
      </c>
      <c r="AC76" s="58">
        <f t="shared" si="7"/>
        <v>0.2857142857142857</v>
      </c>
      <c r="AD76" s="58">
        <f t="shared" si="8"/>
        <v>4.7286144285852996E-2</v>
      </c>
      <c r="AE76" s="58">
        <f t="shared" si="9"/>
        <v>0.36455245998814462</v>
      </c>
      <c r="AF76" s="83">
        <v>0</v>
      </c>
      <c r="AG76" s="83">
        <v>0</v>
      </c>
      <c r="AH76" s="66">
        <f t="shared" si="10"/>
        <v>5.0555382539188204E-2</v>
      </c>
      <c r="AI76" s="68">
        <v>2.5532564102564103E-3</v>
      </c>
      <c r="AJ76" s="68">
        <v>2.7867746288798918E-3</v>
      </c>
      <c r="AK76" s="70">
        <v>442</v>
      </c>
      <c r="AL76" s="72">
        <v>0.40747276670487442</v>
      </c>
      <c r="AM76" s="75">
        <f t="shared" si="11"/>
        <v>4.379065928730945E-2</v>
      </c>
      <c r="AN76" s="75">
        <f t="shared" si="12"/>
        <v>9.2398020821258022</v>
      </c>
      <c r="AO76" s="75">
        <f t="shared" si="13"/>
        <v>-7.1221644397850573E-2</v>
      </c>
    </row>
    <row r="77" spans="1:41" ht="14.5">
      <c r="A77" s="47">
        <v>2011</v>
      </c>
      <c r="B77" s="49" t="s">
        <v>325</v>
      </c>
      <c r="C77" s="49" t="s">
        <v>326</v>
      </c>
      <c r="D77" s="49" t="s">
        <v>105</v>
      </c>
      <c r="E77" s="47">
        <v>1103</v>
      </c>
      <c r="F77" s="47">
        <v>10770</v>
      </c>
      <c r="G77" s="47">
        <v>822</v>
      </c>
      <c r="H77" s="47">
        <v>746</v>
      </c>
      <c r="I77" s="47">
        <v>432</v>
      </c>
      <c r="J77" s="47">
        <v>-846</v>
      </c>
      <c r="K77" s="47">
        <v>550</v>
      </c>
      <c r="L77" s="47">
        <v>212</v>
      </c>
      <c r="M77" s="47">
        <v>495</v>
      </c>
      <c r="N77" s="47">
        <v>3278</v>
      </c>
      <c r="O77" s="47">
        <v>1226</v>
      </c>
      <c r="P77" s="47">
        <v>967</v>
      </c>
      <c r="Q77" s="47">
        <v>0</v>
      </c>
      <c r="R77" s="47">
        <v>2173</v>
      </c>
      <c r="S77" s="47">
        <v>15</v>
      </c>
      <c r="T77" s="51">
        <v>15</v>
      </c>
      <c r="U77" s="47">
        <v>1040</v>
      </c>
      <c r="V77" s="53">
        <v>548</v>
      </c>
      <c r="W77" s="53">
        <f t="shared" si="1"/>
        <v>12117</v>
      </c>
      <c r="X77" s="58">
        <f t="shared" si="2"/>
        <v>7.9805232318230584E-2</v>
      </c>
      <c r="Y77" s="55">
        <f t="shared" si="3"/>
        <v>11190</v>
      </c>
      <c r="Z77" s="58">
        <f t="shared" si="4"/>
        <v>1.5393939393939393</v>
      </c>
      <c r="AA77" s="60">
        <f t="shared" si="5"/>
        <v>-176</v>
      </c>
      <c r="AB77" s="58">
        <f t="shared" si="6"/>
        <v>1.0226555246053852</v>
      </c>
      <c r="AC77" s="58">
        <f t="shared" si="7"/>
        <v>0.37827887712839392</v>
      </c>
      <c r="AD77" s="58">
        <f t="shared" si="8"/>
        <v>4.0111420612813371E-2</v>
      </c>
      <c r="AE77" s="58">
        <f t="shared" si="9"/>
        <v>0.56419696272434428</v>
      </c>
      <c r="AF77" s="83">
        <v>0</v>
      </c>
      <c r="AG77" s="83">
        <v>0</v>
      </c>
      <c r="AH77" s="66">
        <f t="shared" si="10"/>
        <v>3.8605898123324399E-2</v>
      </c>
      <c r="AI77" s="68">
        <v>3.1970080428954423E-3</v>
      </c>
      <c r="AJ77" s="68">
        <v>1.1528150134048258E-3</v>
      </c>
      <c r="AK77" s="70">
        <v>463</v>
      </c>
      <c r="AL77" s="72">
        <v>0.40636156022555514</v>
      </c>
      <c r="AM77" s="75">
        <f t="shared" si="11"/>
        <v>5.088207985143918E-2</v>
      </c>
      <c r="AN77" s="75">
        <f t="shared" si="12"/>
        <v>9.2845197701504336</v>
      </c>
      <c r="AO77" s="75">
        <f t="shared" si="13"/>
        <v>2.2402699671992453E-2</v>
      </c>
    </row>
    <row r="78" spans="1:41" ht="14.5">
      <c r="A78" s="47">
        <v>2012</v>
      </c>
      <c r="B78" s="49" t="s">
        <v>325</v>
      </c>
      <c r="C78" s="49" t="s">
        <v>326</v>
      </c>
      <c r="D78" s="49" t="s">
        <v>105</v>
      </c>
      <c r="E78" s="47">
        <v>924</v>
      </c>
      <c r="F78" s="47">
        <v>11800</v>
      </c>
      <c r="G78" s="47">
        <v>1538</v>
      </c>
      <c r="H78" s="47">
        <v>752</v>
      </c>
      <c r="I78" s="47">
        <v>766</v>
      </c>
      <c r="J78" s="47">
        <v>-1498</v>
      </c>
      <c r="K78" s="47">
        <v>350</v>
      </c>
      <c r="L78" s="47">
        <v>174</v>
      </c>
      <c r="M78" s="47">
        <v>669</v>
      </c>
      <c r="N78" s="47">
        <v>3938</v>
      </c>
      <c r="O78" s="47">
        <v>1158</v>
      </c>
      <c r="P78" s="47">
        <v>1133</v>
      </c>
      <c r="Q78" s="47">
        <v>0</v>
      </c>
      <c r="R78" s="47">
        <v>2337</v>
      </c>
      <c r="S78" s="47">
        <v>17</v>
      </c>
      <c r="T78" s="51">
        <v>17</v>
      </c>
      <c r="U78" s="47">
        <v>1040</v>
      </c>
      <c r="V78" s="53">
        <v>442</v>
      </c>
      <c r="W78" s="53">
        <f t="shared" si="1"/>
        <v>14219</v>
      </c>
      <c r="X78" s="58">
        <f t="shared" si="2"/>
        <v>7.9682115479288274E-2</v>
      </c>
      <c r="Y78" s="55">
        <f t="shared" si="3"/>
        <v>12784</v>
      </c>
      <c r="Z78" s="58">
        <f t="shared" si="4"/>
        <v>0.78325859491778771</v>
      </c>
      <c r="AA78" s="60">
        <f t="shared" si="5"/>
        <v>511</v>
      </c>
      <c r="AB78" s="58">
        <f t="shared" si="6"/>
        <v>1.1266949152542374</v>
      </c>
      <c r="AC78" s="58">
        <f t="shared" si="7"/>
        <v>0.6581086863500214</v>
      </c>
      <c r="AD78" s="58">
        <f t="shared" si="8"/>
        <v>6.4915254237288139E-2</v>
      </c>
      <c r="AE78" s="58">
        <f t="shared" si="9"/>
        <v>0.49550706033376124</v>
      </c>
      <c r="AF78" s="83">
        <v>0</v>
      </c>
      <c r="AG78" s="83">
        <v>0</v>
      </c>
      <c r="AH78" s="66">
        <f t="shared" si="10"/>
        <v>5.9918648310387984E-2</v>
      </c>
      <c r="AI78" s="68">
        <v>3.4951156914893619E-3</v>
      </c>
      <c r="AJ78" s="68">
        <v>1.4627659574468086E-4</v>
      </c>
      <c r="AK78" s="70">
        <v>525</v>
      </c>
      <c r="AL78" s="72">
        <v>0.32459301530059326</v>
      </c>
      <c r="AM78" s="75">
        <f t="shared" si="11"/>
        <v>3.7457627118644067E-2</v>
      </c>
      <c r="AN78" s="75">
        <f t="shared" si="12"/>
        <v>9.375854810453756</v>
      </c>
      <c r="AO78" s="75">
        <f t="shared" si="13"/>
        <v>0.11928849322336413</v>
      </c>
    </row>
    <row r="79" spans="1:41" ht="14.5">
      <c r="A79" s="47">
        <v>2013</v>
      </c>
      <c r="B79" s="49" t="s">
        <v>325</v>
      </c>
      <c r="C79" s="49" t="s">
        <v>326</v>
      </c>
      <c r="D79" s="49" t="s">
        <v>105</v>
      </c>
      <c r="E79" s="47">
        <v>718</v>
      </c>
      <c r="F79" s="47">
        <v>11411</v>
      </c>
      <c r="G79" s="47">
        <v>1048</v>
      </c>
      <c r="H79" s="47">
        <v>753</v>
      </c>
      <c r="I79" s="47">
        <v>1190</v>
      </c>
      <c r="J79" s="47">
        <v>-1053</v>
      </c>
      <c r="K79" s="47">
        <v>220</v>
      </c>
      <c r="L79" s="47">
        <v>78</v>
      </c>
      <c r="M79" s="47">
        <v>637</v>
      </c>
      <c r="N79" s="47">
        <v>4253</v>
      </c>
      <c r="O79" s="47">
        <v>653</v>
      </c>
      <c r="P79" s="47">
        <v>1152</v>
      </c>
      <c r="Q79" s="47">
        <v>0</v>
      </c>
      <c r="R79" s="47">
        <v>1843</v>
      </c>
      <c r="S79" s="47">
        <v>9</v>
      </c>
      <c r="T79" s="51">
        <v>9</v>
      </c>
      <c r="U79" s="47">
        <v>1040</v>
      </c>
      <c r="V79" s="53">
        <v>-446</v>
      </c>
      <c r="W79" s="53">
        <f t="shared" si="1"/>
        <v>8604</v>
      </c>
      <c r="X79" s="58">
        <f t="shared" si="2"/>
        <v>0.13389121338912133</v>
      </c>
      <c r="Y79" s="55">
        <f t="shared" si="3"/>
        <v>6777</v>
      </c>
      <c r="Z79" s="58">
        <f t="shared" si="4"/>
        <v>0.46781789638932497</v>
      </c>
      <c r="AA79" s="60">
        <f t="shared" si="5"/>
        <v>1109</v>
      </c>
      <c r="AB79" s="58">
        <f t="shared" si="6"/>
        <v>0.69108754710367193</v>
      </c>
      <c r="AC79" s="58">
        <f t="shared" si="7"/>
        <v>0.56863809007053712</v>
      </c>
      <c r="AD79" s="58">
        <f t="shared" si="8"/>
        <v>0.10428533870826395</v>
      </c>
      <c r="AE79" s="58">
        <f t="shared" si="9"/>
        <v>0.35431361909929465</v>
      </c>
      <c r="AF79" s="83">
        <v>0</v>
      </c>
      <c r="AG79" s="83">
        <v>0</v>
      </c>
      <c r="AH79" s="66">
        <f t="shared" si="10"/>
        <v>0.17559392061384094</v>
      </c>
      <c r="AI79" s="68">
        <v>4.0392974767596282E-3</v>
      </c>
      <c r="AJ79" s="68">
        <v>1.4463545816733067E-3</v>
      </c>
      <c r="AK79" s="70">
        <v>596</v>
      </c>
      <c r="AL79" s="72">
        <v>0.31882975802972668</v>
      </c>
      <c r="AM79" s="75">
        <f t="shared" si="11"/>
        <v>-3.9085093330996405E-2</v>
      </c>
      <c r="AN79" s="75">
        <f t="shared" si="12"/>
        <v>9.3423330814346794</v>
      </c>
      <c r="AO79" s="75">
        <f t="shared" si="13"/>
        <v>-0.36948876699710714</v>
      </c>
    </row>
    <row r="80" spans="1:41" ht="14.5">
      <c r="A80" s="47">
        <v>2014</v>
      </c>
      <c r="B80" s="49" t="s">
        <v>325</v>
      </c>
      <c r="C80" s="49" t="s">
        <v>326</v>
      </c>
      <c r="D80" s="49" t="s">
        <v>105</v>
      </c>
      <c r="E80" s="47">
        <v>784</v>
      </c>
      <c r="F80" s="47">
        <v>12539</v>
      </c>
      <c r="G80" s="47">
        <v>662</v>
      </c>
      <c r="H80" s="47">
        <v>878</v>
      </c>
      <c r="I80" s="47">
        <v>2025</v>
      </c>
      <c r="J80" s="47">
        <v>-1097</v>
      </c>
      <c r="K80" s="47">
        <v>191</v>
      </c>
      <c r="L80" s="47">
        <v>47</v>
      </c>
      <c r="M80" s="47">
        <v>728</v>
      </c>
      <c r="N80" s="47">
        <v>5806</v>
      </c>
      <c r="O80" s="47">
        <v>529</v>
      </c>
      <c r="P80" s="47">
        <v>1706</v>
      </c>
      <c r="Q80" s="47">
        <v>0</v>
      </c>
      <c r="R80" s="47">
        <v>1835</v>
      </c>
      <c r="S80" s="47">
        <v>4</v>
      </c>
      <c r="T80" s="51">
        <v>4</v>
      </c>
      <c r="U80" s="47">
        <v>1040</v>
      </c>
      <c r="V80" s="53">
        <v>-1383</v>
      </c>
      <c r="W80" s="53">
        <f t="shared" si="1"/>
        <v>6265</v>
      </c>
      <c r="X80" s="58">
        <f t="shared" si="2"/>
        <v>0.27230646448523543</v>
      </c>
      <c r="Y80" s="55">
        <f t="shared" si="3"/>
        <v>3512</v>
      </c>
      <c r="Z80" s="58">
        <f t="shared" si="4"/>
        <v>0.32692307692307693</v>
      </c>
      <c r="AA80" s="60">
        <f t="shared" si="5"/>
        <v>1969</v>
      </c>
      <c r="AB80" s="58">
        <f t="shared" si="6"/>
        <v>0.43711619746391261</v>
      </c>
      <c r="AC80" s="58">
        <f t="shared" si="7"/>
        <v>0.36076294277929155</v>
      </c>
      <c r="AD80" s="58">
        <f t="shared" si="8"/>
        <v>0.161496132067948</v>
      </c>
      <c r="AE80" s="58">
        <f t="shared" si="9"/>
        <v>0.28828337874659399</v>
      </c>
      <c r="AF80" s="83">
        <v>0</v>
      </c>
      <c r="AG80" s="83">
        <v>0</v>
      </c>
      <c r="AH80" s="66">
        <f t="shared" si="10"/>
        <v>0.57659453302961272</v>
      </c>
      <c r="AI80" s="68">
        <v>3.7504145785876991E-3</v>
      </c>
      <c r="AJ80" s="68">
        <v>1.1151628701594532E-3</v>
      </c>
      <c r="AK80" s="70">
        <v>622</v>
      </c>
      <c r="AL80" s="72">
        <v>0.29830691109911511</v>
      </c>
      <c r="AM80" s="75">
        <f t="shared" si="11"/>
        <v>-0.11029587686418375</v>
      </c>
      <c r="AN80" s="75">
        <f t="shared" si="12"/>
        <v>9.4365990661905386</v>
      </c>
      <c r="AO80" s="75">
        <f t="shared" si="13"/>
        <v>-0.8275562211444214</v>
      </c>
    </row>
    <row r="81" spans="1:41" ht="14.5">
      <c r="A81" s="47">
        <v>2015</v>
      </c>
      <c r="B81" s="49" t="s">
        <v>325</v>
      </c>
      <c r="C81" s="49" t="s">
        <v>326</v>
      </c>
      <c r="D81" s="49" t="s">
        <v>105</v>
      </c>
      <c r="E81" s="47">
        <v>649</v>
      </c>
      <c r="F81" s="47">
        <v>9518</v>
      </c>
      <c r="G81" s="47">
        <v>379</v>
      </c>
      <c r="H81" s="47">
        <v>947</v>
      </c>
      <c r="I81" s="47">
        <v>1677</v>
      </c>
      <c r="J81" s="47">
        <v>-392</v>
      </c>
      <c r="K81" s="47">
        <v>120</v>
      </c>
      <c r="L81" s="47">
        <v>43</v>
      </c>
      <c r="M81" s="47">
        <v>542</v>
      </c>
      <c r="N81" s="47">
        <v>4654</v>
      </c>
      <c r="O81" s="47">
        <v>531</v>
      </c>
      <c r="P81" s="47">
        <v>2273</v>
      </c>
      <c r="Q81" s="47">
        <v>0</v>
      </c>
      <c r="R81" s="47">
        <v>1825</v>
      </c>
      <c r="S81" s="47">
        <v>2</v>
      </c>
      <c r="T81" s="51">
        <v>2</v>
      </c>
      <c r="U81" s="47">
        <v>1040</v>
      </c>
      <c r="V81" s="53">
        <v>-2115</v>
      </c>
      <c r="W81" s="53">
        <f t="shared" si="1"/>
        <v>4113</v>
      </c>
      <c r="X81" s="58">
        <f t="shared" si="2"/>
        <v>0.55263797714563578</v>
      </c>
      <c r="Y81" s="55">
        <f t="shared" si="3"/>
        <v>1894</v>
      </c>
      <c r="Z81" s="58">
        <f t="shared" si="4"/>
        <v>0.30073800738007378</v>
      </c>
      <c r="AA81" s="60">
        <f t="shared" si="5"/>
        <v>1570</v>
      </c>
      <c r="AB81" s="58">
        <f t="shared" si="6"/>
        <v>0.36394200462281995</v>
      </c>
      <c r="AC81" s="58">
        <f t="shared" si="7"/>
        <v>0.20767123287671233</v>
      </c>
      <c r="AD81" s="58">
        <f t="shared" si="8"/>
        <v>0.17619247741122085</v>
      </c>
      <c r="AE81" s="58">
        <f t="shared" si="9"/>
        <v>0.29095890410958902</v>
      </c>
      <c r="AF81" s="83">
        <v>0</v>
      </c>
      <c r="AG81" s="83">
        <v>0</v>
      </c>
      <c r="AH81" s="66">
        <f t="shared" si="10"/>
        <v>0.88542766631467795</v>
      </c>
      <c r="AI81" s="68">
        <v>5.2994593453009504E-3</v>
      </c>
      <c r="AJ81" s="68">
        <v>1.2219081309398098E-3</v>
      </c>
      <c r="AK81" s="70">
        <v>662</v>
      </c>
      <c r="AL81" s="72">
        <v>0.24852872246237168</v>
      </c>
      <c r="AM81" s="75">
        <f t="shared" si="11"/>
        <v>-0.22221054843454507</v>
      </c>
      <c r="AN81" s="75">
        <f t="shared" si="12"/>
        <v>9.1609400216810553</v>
      </c>
      <c r="AO81" s="75">
        <f t="shared" si="13"/>
        <v>-1.0107607519987298</v>
      </c>
    </row>
    <row r="82" spans="1:41" ht="14.5">
      <c r="A82" s="47">
        <v>2016</v>
      </c>
      <c r="B82" s="49" t="s">
        <v>325</v>
      </c>
      <c r="C82" s="49" t="s">
        <v>326</v>
      </c>
      <c r="D82" s="49" t="s">
        <v>105</v>
      </c>
      <c r="E82" s="47">
        <v>552</v>
      </c>
      <c r="F82" s="47">
        <v>8802</v>
      </c>
      <c r="G82" s="47">
        <v>495</v>
      </c>
      <c r="H82" s="47">
        <v>948</v>
      </c>
      <c r="I82" s="47">
        <v>1574</v>
      </c>
      <c r="J82" s="47">
        <v>-380</v>
      </c>
      <c r="K82" s="47">
        <v>97</v>
      </c>
      <c r="L82" s="47">
        <v>35</v>
      </c>
      <c r="M82" s="47">
        <v>475</v>
      </c>
      <c r="N82" s="47">
        <v>4222</v>
      </c>
      <c r="O82" s="47">
        <v>665</v>
      </c>
      <c r="P82" s="47">
        <v>2456</v>
      </c>
      <c r="Q82" s="47">
        <v>0</v>
      </c>
      <c r="R82" s="47">
        <v>1788</v>
      </c>
      <c r="S82" s="47">
        <v>3</v>
      </c>
      <c r="T82" s="51">
        <v>3</v>
      </c>
      <c r="U82" s="47">
        <v>1040</v>
      </c>
      <c r="V82" s="53">
        <v>-308</v>
      </c>
      <c r="W82" s="53">
        <f t="shared" si="1"/>
        <v>4893</v>
      </c>
      <c r="X82" s="58">
        <f t="shared" si="2"/>
        <v>0.50194154915184963</v>
      </c>
      <c r="Y82" s="55">
        <f t="shared" si="3"/>
        <v>2844</v>
      </c>
      <c r="Z82" s="58">
        <f t="shared" si="4"/>
        <v>0.27789473684210525</v>
      </c>
      <c r="AA82" s="60">
        <f t="shared" si="5"/>
        <v>1497</v>
      </c>
      <c r="AB82" s="58">
        <f t="shared" si="6"/>
        <v>0.49318336741649627</v>
      </c>
      <c r="AC82" s="58">
        <f t="shared" si="7"/>
        <v>0.27684563758389263</v>
      </c>
      <c r="AD82" s="58">
        <f t="shared" si="8"/>
        <v>0.17882299477391503</v>
      </c>
      <c r="AE82" s="58">
        <f t="shared" si="9"/>
        <v>0.37192393736017898</v>
      </c>
      <c r="AF82" s="83">
        <v>0</v>
      </c>
      <c r="AG82" s="83">
        <v>0</v>
      </c>
      <c r="AH82" s="66">
        <f t="shared" si="10"/>
        <v>0.5534458509142054</v>
      </c>
      <c r="AI82" s="68">
        <v>5.5678713080168779E-3</v>
      </c>
      <c r="AJ82" s="68">
        <v>1.1332710970464136E-3</v>
      </c>
      <c r="AK82" s="70">
        <v>665</v>
      </c>
      <c r="AL82" s="72">
        <v>0.17575655870671814</v>
      </c>
      <c r="AM82" s="75">
        <f t="shared" si="11"/>
        <v>-3.499204726198591E-2</v>
      </c>
      <c r="AN82" s="75">
        <f t="shared" si="12"/>
        <v>9.082734247371036</v>
      </c>
      <c r="AO82" s="75">
        <f t="shared" si="13"/>
        <v>-0.70687423207144318</v>
      </c>
    </row>
    <row r="83" spans="1:41" ht="14.5">
      <c r="A83" s="47">
        <v>2017</v>
      </c>
      <c r="B83" s="49" t="s">
        <v>325</v>
      </c>
      <c r="C83" s="49" t="s">
        <v>326</v>
      </c>
      <c r="D83" s="49" t="s">
        <v>105</v>
      </c>
      <c r="E83" s="47">
        <v>839</v>
      </c>
      <c r="F83" s="47">
        <v>8763</v>
      </c>
      <c r="G83" s="47">
        <v>644</v>
      </c>
      <c r="H83" s="47">
        <v>949</v>
      </c>
      <c r="I83" s="47">
        <v>1748</v>
      </c>
      <c r="J83" s="47">
        <v>-644</v>
      </c>
      <c r="K83" s="47">
        <v>149</v>
      </c>
      <c r="L83" s="47">
        <v>39</v>
      </c>
      <c r="M83" s="47">
        <v>781</v>
      </c>
      <c r="N83" s="47">
        <v>4316</v>
      </c>
      <c r="O83" s="47">
        <v>484</v>
      </c>
      <c r="P83" s="47">
        <v>1866</v>
      </c>
      <c r="Q83" s="47">
        <v>0</v>
      </c>
      <c r="R83" s="47">
        <v>1804</v>
      </c>
      <c r="S83" s="47">
        <v>3</v>
      </c>
      <c r="T83" s="51">
        <v>3</v>
      </c>
      <c r="U83" s="47">
        <v>1040</v>
      </c>
      <c r="V83" s="53">
        <v>-194</v>
      </c>
      <c r="W83" s="53">
        <f t="shared" si="1"/>
        <v>5376</v>
      </c>
      <c r="X83" s="58">
        <f t="shared" si="2"/>
        <v>0.3470982142857143</v>
      </c>
      <c r="Y83" s="55">
        <f t="shared" si="3"/>
        <v>2847</v>
      </c>
      <c r="Z83" s="58">
        <f t="shared" si="4"/>
        <v>0.2407170294494238</v>
      </c>
      <c r="AA83" s="60">
        <f t="shared" si="5"/>
        <v>1690</v>
      </c>
      <c r="AB83" s="58">
        <f t="shared" si="6"/>
        <v>0.51774506447563617</v>
      </c>
      <c r="AC83" s="58">
        <f t="shared" si="7"/>
        <v>0.35698447893569846</v>
      </c>
      <c r="AD83" s="58">
        <f t="shared" si="8"/>
        <v>0.1994750656167979</v>
      </c>
      <c r="AE83" s="58">
        <f t="shared" si="9"/>
        <v>0.26829268292682928</v>
      </c>
      <c r="AF83" s="83">
        <v>7.9063324996546544E-2</v>
      </c>
      <c r="AG83" s="83">
        <v>0</v>
      </c>
      <c r="AH83" s="66">
        <f t="shared" si="10"/>
        <v>0.61397962767825787</v>
      </c>
      <c r="AI83" s="68">
        <v>6.0027671232876709E-3</v>
      </c>
      <c r="AJ83" s="68">
        <v>6.1853804004214957E-4</v>
      </c>
      <c r="AK83" s="70">
        <v>692</v>
      </c>
      <c r="AL83" s="72">
        <v>0.20506708060760614</v>
      </c>
      <c r="AM83" s="75">
        <f t="shared" si="11"/>
        <v>-2.213853703069725E-2</v>
      </c>
      <c r="AN83" s="75">
        <f t="shared" si="12"/>
        <v>9.07829359105585</v>
      </c>
      <c r="AO83" s="75">
        <f t="shared" si="13"/>
        <v>-0.6582723113918868</v>
      </c>
    </row>
    <row r="84" spans="1:41" ht="14.5">
      <c r="A84" s="40">
        <v>2009</v>
      </c>
      <c r="B84" s="41" t="s">
        <v>349</v>
      </c>
      <c r="C84" s="41" t="s">
        <v>350</v>
      </c>
      <c r="D84" s="41" t="s">
        <v>105</v>
      </c>
      <c r="E84" s="40">
        <v>477</v>
      </c>
      <c r="F84" s="40">
        <v>2997</v>
      </c>
      <c r="G84" s="40">
        <v>453</v>
      </c>
      <c r="H84" s="40">
        <v>369</v>
      </c>
      <c r="I84" s="40">
        <v>0</v>
      </c>
      <c r="J84" s="40">
        <v>-407</v>
      </c>
      <c r="K84" s="40">
        <v>232</v>
      </c>
      <c r="L84" s="40">
        <v>62</v>
      </c>
      <c r="M84" s="40">
        <v>212</v>
      </c>
      <c r="N84" s="40">
        <v>557</v>
      </c>
      <c r="O84" s="40">
        <v>257</v>
      </c>
      <c r="P84" s="40">
        <v>0</v>
      </c>
      <c r="Q84" s="40">
        <v>0</v>
      </c>
      <c r="R84" s="40">
        <v>914</v>
      </c>
      <c r="S84" s="40">
        <v>16</v>
      </c>
      <c r="T84" s="91">
        <v>16</v>
      </c>
      <c r="U84" s="40">
        <v>1040</v>
      </c>
      <c r="V84" s="40">
        <v>114</v>
      </c>
      <c r="W84" s="93">
        <f t="shared" si="1"/>
        <v>6116</v>
      </c>
      <c r="X84" s="50">
        <f t="shared" si="2"/>
        <v>0</v>
      </c>
      <c r="Y84" s="93">
        <f t="shared" si="3"/>
        <v>5904</v>
      </c>
      <c r="Z84" s="50">
        <f t="shared" si="4"/>
        <v>1.3867924528301887</v>
      </c>
      <c r="AA84">
        <f t="shared" si="5"/>
        <v>-265</v>
      </c>
      <c r="AB84" s="50">
        <f t="shared" si="6"/>
        <v>1.8815482148815481</v>
      </c>
      <c r="AC84" s="50">
        <f t="shared" si="7"/>
        <v>0.49562363238512036</v>
      </c>
      <c r="AD84" s="50">
        <f t="shared" si="8"/>
        <v>0</v>
      </c>
      <c r="AE84" s="50">
        <f t="shared" si="9"/>
        <v>0.28118161925601748</v>
      </c>
      <c r="AF84" s="96">
        <v>0</v>
      </c>
      <c r="AG84" s="96">
        <v>0.28807520075826754</v>
      </c>
      <c r="AH84" s="100">
        <f t="shared" si="10"/>
        <v>0</v>
      </c>
      <c r="AI84" s="101">
        <v>1.6363390243902438E-2</v>
      </c>
      <c r="AJ84" s="101">
        <v>3.4084010840108401E-3</v>
      </c>
      <c r="AK84" s="102">
        <v>461</v>
      </c>
      <c r="AL84" s="103">
        <v>0.21240953077986502</v>
      </c>
      <c r="AM84" s="75">
        <f t="shared" si="11"/>
        <v>3.8038038038038041E-2</v>
      </c>
      <c r="AN84" s="75">
        <f t="shared" si="12"/>
        <v>8.0053670673166639</v>
      </c>
      <c r="AO84" s="75">
        <f t="shared" si="13"/>
        <v>0.63209495649051883</v>
      </c>
    </row>
    <row r="85" spans="1:41" ht="14.5">
      <c r="A85" s="40">
        <v>2010</v>
      </c>
      <c r="B85" s="41" t="s">
        <v>349</v>
      </c>
      <c r="C85" s="41" t="s">
        <v>350</v>
      </c>
      <c r="D85" s="41" t="s">
        <v>105</v>
      </c>
      <c r="E85" s="40">
        <v>599</v>
      </c>
      <c r="F85" s="40">
        <v>3495</v>
      </c>
      <c r="G85" s="40">
        <v>372</v>
      </c>
      <c r="H85" s="40">
        <v>373</v>
      </c>
      <c r="I85" s="40">
        <v>0</v>
      </c>
      <c r="J85" s="40">
        <v>-357</v>
      </c>
      <c r="K85" s="40">
        <v>318</v>
      </c>
      <c r="L85" s="40">
        <v>55</v>
      </c>
      <c r="M85" s="40">
        <v>254</v>
      </c>
      <c r="N85" s="40">
        <v>661</v>
      </c>
      <c r="O85" s="40">
        <v>415</v>
      </c>
      <c r="P85" s="40">
        <v>0</v>
      </c>
      <c r="Q85" s="40">
        <v>0</v>
      </c>
      <c r="R85" s="40">
        <v>1167</v>
      </c>
      <c r="S85" s="40">
        <v>18</v>
      </c>
      <c r="T85" s="91">
        <v>18</v>
      </c>
      <c r="U85" s="40">
        <v>1040</v>
      </c>
      <c r="V85" s="40">
        <v>280</v>
      </c>
      <c r="W85" s="93">
        <f t="shared" si="1"/>
        <v>6968</v>
      </c>
      <c r="X85" s="50">
        <f t="shared" si="2"/>
        <v>0</v>
      </c>
      <c r="Y85" s="93">
        <f t="shared" si="3"/>
        <v>6714</v>
      </c>
      <c r="Z85" s="50">
        <f t="shared" si="4"/>
        <v>1.4685039370078741</v>
      </c>
      <c r="AA85">
        <f t="shared" si="5"/>
        <v>-345</v>
      </c>
      <c r="AB85" s="50">
        <f t="shared" si="6"/>
        <v>1.8223175965665237</v>
      </c>
      <c r="AC85" s="50">
        <f t="shared" si="7"/>
        <v>0.31876606683804626</v>
      </c>
      <c r="AD85" s="50">
        <f t="shared" si="8"/>
        <v>0</v>
      </c>
      <c r="AE85" s="50">
        <f t="shared" si="9"/>
        <v>0.35561268209083119</v>
      </c>
      <c r="AF85" s="98">
        <v>1.4690819414684973E-2</v>
      </c>
      <c r="AG85" s="96">
        <v>0</v>
      </c>
      <c r="AH85" s="100">
        <f t="shared" si="10"/>
        <v>0</v>
      </c>
      <c r="AI85" s="101">
        <v>1.465732707774799E-2</v>
      </c>
      <c r="AJ85" s="101">
        <v>3.0819946380697049E-3</v>
      </c>
      <c r="AK85" s="102">
        <v>574</v>
      </c>
      <c r="AL85" s="103">
        <v>0.13592700479780673</v>
      </c>
      <c r="AM85" s="75">
        <f t="shared" si="11"/>
        <v>8.0114449213161659E-2</v>
      </c>
      <c r="AN85" s="75">
        <f t="shared" si="12"/>
        <v>8.1590886546679098</v>
      </c>
      <c r="AO85" s="75">
        <f t="shared" si="13"/>
        <v>0.60010909570345516</v>
      </c>
    </row>
    <row r="86" spans="1:41" ht="14.5">
      <c r="A86" s="40">
        <v>2011</v>
      </c>
      <c r="B86" s="41" t="s">
        <v>349</v>
      </c>
      <c r="C86" s="41" t="s">
        <v>350</v>
      </c>
      <c r="D86" s="41" t="s">
        <v>105</v>
      </c>
      <c r="E86" s="40">
        <v>1543</v>
      </c>
      <c r="F86" s="40">
        <v>4350</v>
      </c>
      <c r="G86" s="40">
        <v>395</v>
      </c>
      <c r="H86" s="40">
        <v>376</v>
      </c>
      <c r="I86" s="40">
        <v>0</v>
      </c>
      <c r="J86" s="40">
        <v>247</v>
      </c>
      <c r="K86" s="40">
        <v>1173</v>
      </c>
      <c r="L86" s="40">
        <v>110</v>
      </c>
      <c r="M86" s="40">
        <v>353</v>
      </c>
      <c r="N86" s="40">
        <v>821</v>
      </c>
      <c r="O86" s="40">
        <v>570</v>
      </c>
      <c r="P86" s="40">
        <v>0</v>
      </c>
      <c r="Q86" s="40">
        <v>0</v>
      </c>
      <c r="R86" s="40">
        <v>1673</v>
      </c>
      <c r="S86" s="40">
        <v>16</v>
      </c>
      <c r="T86" s="91">
        <v>16</v>
      </c>
      <c r="U86" s="40">
        <v>1040</v>
      </c>
      <c r="V86" s="40">
        <v>807</v>
      </c>
      <c r="W86" s="93">
        <f t="shared" si="1"/>
        <v>6369</v>
      </c>
      <c r="X86" s="50">
        <f t="shared" si="2"/>
        <v>0</v>
      </c>
      <c r="Y86" s="93">
        <f t="shared" si="3"/>
        <v>6016</v>
      </c>
      <c r="Z86" s="50">
        <f t="shared" si="4"/>
        <v>3.6345609065155808</v>
      </c>
      <c r="AA86">
        <f t="shared" si="5"/>
        <v>-1190</v>
      </c>
      <c r="AB86" s="50">
        <f t="shared" si="6"/>
        <v>1.1094252873563217</v>
      </c>
      <c r="AC86" s="50">
        <f t="shared" si="7"/>
        <v>0.23610280932456665</v>
      </c>
      <c r="AD86" s="50">
        <f t="shared" si="8"/>
        <v>0</v>
      </c>
      <c r="AE86" s="50">
        <f t="shared" si="9"/>
        <v>0.34070531978481772</v>
      </c>
      <c r="AF86" s="96">
        <v>0</v>
      </c>
      <c r="AG86" s="96">
        <v>0.82484516301034339</v>
      </c>
      <c r="AH86" s="100">
        <f t="shared" si="10"/>
        <v>0</v>
      </c>
      <c r="AI86" s="101">
        <v>1.3595321808510639E-2</v>
      </c>
      <c r="AJ86" s="101">
        <v>3.7291648936170212E-3</v>
      </c>
      <c r="AK86" s="102">
        <v>636</v>
      </c>
      <c r="AL86" s="103">
        <v>0.106246940718521</v>
      </c>
      <c r="AM86" s="75">
        <f t="shared" si="11"/>
        <v>0.18551724137931033</v>
      </c>
      <c r="AN86" s="75">
        <f t="shared" si="12"/>
        <v>8.3779311240827301</v>
      </c>
      <c r="AO86" s="75">
        <f t="shared" si="13"/>
        <v>0.10384212210224716</v>
      </c>
    </row>
    <row r="87" spans="1:41" ht="14.5">
      <c r="A87" s="40">
        <v>2012</v>
      </c>
      <c r="B87" s="41" t="s">
        <v>349</v>
      </c>
      <c r="C87" s="41" t="s">
        <v>350</v>
      </c>
      <c r="D87" s="41" t="s">
        <v>105</v>
      </c>
      <c r="E87" s="40">
        <v>1401</v>
      </c>
      <c r="F87" s="40">
        <v>5376</v>
      </c>
      <c r="G87" s="40">
        <v>701</v>
      </c>
      <c r="H87" s="40">
        <v>377</v>
      </c>
      <c r="I87" s="40">
        <v>639</v>
      </c>
      <c r="J87" s="40">
        <v>-1213</v>
      </c>
      <c r="K87" s="40">
        <v>929</v>
      </c>
      <c r="L87" s="40">
        <v>131</v>
      </c>
      <c r="M87" s="40">
        <v>373</v>
      </c>
      <c r="N87" s="40">
        <v>1571</v>
      </c>
      <c r="O87" s="40">
        <v>441</v>
      </c>
      <c r="P87" s="40">
        <v>0</v>
      </c>
      <c r="Q87" s="40">
        <v>0</v>
      </c>
      <c r="R87" s="40">
        <v>1670</v>
      </c>
      <c r="S87" s="40">
        <v>11</v>
      </c>
      <c r="T87" s="91">
        <v>11</v>
      </c>
      <c r="U87" s="40">
        <v>1040</v>
      </c>
      <c r="V87" s="40">
        <v>335</v>
      </c>
      <c r="W87" s="93">
        <f t="shared" si="1"/>
        <v>5159</v>
      </c>
      <c r="X87" s="50">
        <f t="shared" si="2"/>
        <v>0</v>
      </c>
      <c r="Y87" s="93">
        <f t="shared" si="3"/>
        <v>4147</v>
      </c>
      <c r="Z87" s="50">
        <f t="shared" si="4"/>
        <v>2.8418230563002682</v>
      </c>
      <c r="AA87">
        <f t="shared" si="5"/>
        <v>-389</v>
      </c>
      <c r="AB87" s="50">
        <f t="shared" si="6"/>
        <v>0.69903273809523814</v>
      </c>
      <c r="AC87" s="50">
        <f t="shared" si="7"/>
        <v>0.41976047904191616</v>
      </c>
      <c r="AD87" s="50">
        <f t="shared" si="8"/>
        <v>0.11886160714285714</v>
      </c>
      <c r="AE87" s="50">
        <f t="shared" si="9"/>
        <v>0.26407185628742513</v>
      </c>
      <c r="AF87" s="96">
        <v>0</v>
      </c>
      <c r="AG87" s="98">
        <v>0.60852311440457318</v>
      </c>
      <c r="AH87" s="100">
        <f t="shared" si="10"/>
        <v>0.15408729201832649</v>
      </c>
      <c r="AI87" s="101">
        <v>1.3642177718832891E-2</v>
      </c>
      <c r="AJ87" s="101">
        <v>4.2946949602122014E-3</v>
      </c>
      <c r="AK87" s="102">
        <v>715</v>
      </c>
      <c r="AL87" s="103">
        <v>0.11407185628742515</v>
      </c>
      <c r="AM87" s="75">
        <f t="shared" si="11"/>
        <v>6.2313988095238096E-2</v>
      </c>
      <c r="AN87" s="75">
        <f t="shared" si="12"/>
        <v>8.5896998822029857</v>
      </c>
      <c r="AO87" s="75">
        <f t="shared" si="13"/>
        <v>-0.35805770222957478</v>
      </c>
    </row>
    <row r="88" spans="1:41" ht="14.5">
      <c r="A88" s="40">
        <v>2013</v>
      </c>
      <c r="B88" s="41" t="s">
        <v>349</v>
      </c>
      <c r="C88" s="41" t="s">
        <v>350</v>
      </c>
      <c r="D88" s="41" t="s">
        <v>105</v>
      </c>
      <c r="E88" s="40">
        <v>737</v>
      </c>
      <c r="F88" s="40">
        <v>4190</v>
      </c>
      <c r="G88" s="40">
        <v>617</v>
      </c>
      <c r="H88" s="40">
        <v>377</v>
      </c>
      <c r="I88" s="40">
        <v>640</v>
      </c>
      <c r="J88" s="40">
        <v>-688</v>
      </c>
      <c r="K88" s="40">
        <v>328</v>
      </c>
      <c r="L88" s="40">
        <v>94</v>
      </c>
      <c r="M88" s="40">
        <v>215</v>
      </c>
      <c r="N88" s="40">
        <v>1318</v>
      </c>
      <c r="O88" s="40">
        <v>246</v>
      </c>
      <c r="P88" s="40">
        <v>0</v>
      </c>
      <c r="Q88" s="40">
        <v>0</v>
      </c>
      <c r="R88" s="40">
        <v>1147</v>
      </c>
      <c r="S88" s="40">
        <v>3</v>
      </c>
      <c r="T88" s="91">
        <v>3</v>
      </c>
      <c r="U88" s="40">
        <v>1040</v>
      </c>
      <c r="V88" s="40">
        <v>-833</v>
      </c>
      <c r="W88" s="93">
        <f t="shared" si="1"/>
        <v>1986</v>
      </c>
      <c r="X88" s="50">
        <f t="shared" si="2"/>
        <v>0</v>
      </c>
      <c r="Y88" s="93">
        <f t="shared" si="3"/>
        <v>1131</v>
      </c>
      <c r="Z88" s="50">
        <f t="shared" si="4"/>
        <v>1.9627906976744185</v>
      </c>
      <c r="AA88">
        <f t="shared" si="5"/>
        <v>118</v>
      </c>
      <c r="AB88" s="50">
        <f t="shared" si="6"/>
        <v>0.29809069212410499</v>
      </c>
      <c r="AC88" s="50">
        <f t="shared" si="7"/>
        <v>0.53792502179598956</v>
      </c>
      <c r="AD88" s="50">
        <f t="shared" si="8"/>
        <v>0.15274463007159905</v>
      </c>
      <c r="AE88" s="50">
        <f t="shared" si="9"/>
        <v>0.21447253705318223</v>
      </c>
      <c r="AF88" s="96">
        <v>0</v>
      </c>
      <c r="AG88" s="98">
        <v>0.74942573114319544</v>
      </c>
      <c r="AH88" s="100">
        <f t="shared" si="10"/>
        <v>0.56587091069849693</v>
      </c>
      <c r="AI88" s="101">
        <v>1.2403257294429709E-2</v>
      </c>
      <c r="AJ88" s="101">
        <v>5.7383289124668434E-3</v>
      </c>
      <c r="AK88" s="102">
        <v>801</v>
      </c>
      <c r="AL88" s="103">
        <v>0.1740040101124575</v>
      </c>
      <c r="AM88" s="75">
        <f t="shared" si="11"/>
        <v>-0.19880668257756562</v>
      </c>
      <c r="AN88" s="75">
        <f t="shared" si="12"/>
        <v>8.3404560129161833</v>
      </c>
      <c r="AO88" s="75">
        <f t="shared" si="13"/>
        <v>-1.2103575027906057</v>
      </c>
    </row>
    <row r="89" spans="1:41" ht="14.5">
      <c r="A89" s="40">
        <v>2014</v>
      </c>
      <c r="B89" s="41" t="s">
        <v>349</v>
      </c>
      <c r="C89" s="41" t="s">
        <v>350</v>
      </c>
      <c r="D89" s="41" t="s">
        <v>105</v>
      </c>
      <c r="E89" s="40">
        <v>1185</v>
      </c>
      <c r="F89" s="40">
        <v>4223</v>
      </c>
      <c r="G89" s="40">
        <v>377</v>
      </c>
      <c r="H89" s="40">
        <v>377</v>
      </c>
      <c r="I89" s="40">
        <v>668</v>
      </c>
      <c r="J89" s="40">
        <v>-320</v>
      </c>
      <c r="K89" s="40">
        <v>270</v>
      </c>
      <c r="L89" s="40">
        <v>31</v>
      </c>
      <c r="M89" s="40">
        <v>395</v>
      </c>
      <c r="N89" s="40">
        <v>1559</v>
      </c>
      <c r="O89" s="40">
        <v>312</v>
      </c>
      <c r="P89" s="40">
        <v>0</v>
      </c>
      <c r="Q89" s="40">
        <v>0</v>
      </c>
      <c r="R89" s="40">
        <v>1008</v>
      </c>
      <c r="S89" s="40">
        <v>3</v>
      </c>
      <c r="T89" s="91">
        <v>3</v>
      </c>
      <c r="U89" s="40">
        <v>1040</v>
      </c>
      <c r="V89" s="40">
        <v>-207</v>
      </c>
      <c r="W89" s="93">
        <f t="shared" si="1"/>
        <v>2194</v>
      </c>
      <c r="X89" s="50">
        <f t="shared" si="2"/>
        <v>0</v>
      </c>
      <c r="Y89" s="93">
        <f t="shared" si="3"/>
        <v>1131</v>
      </c>
      <c r="Z89" s="50">
        <f t="shared" si="4"/>
        <v>0.76202531645569616</v>
      </c>
      <c r="AA89">
        <f t="shared" si="5"/>
        <v>-122</v>
      </c>
      <c r="AB89" s="50">
        <f t="shared" si="6"/>
        <v>0.23892967085010655</v>
      </c>
      <c r="AC89" s="50">
        <f t="shared" si="7"/>
        <v>0.37400793650793651</v>
      </c>
      <c r="AD89" s="50">
        <f t="shared" si="8"/>
        <v>0.1581813876391191</v>
      </c>
      <c r="AE89" s="50">
        <f t="shared" si="9"/>
        <v>0.30952380952380953</v>
      </c>
      <c r="AF89" s="96">
        <v>0</v>
      </c>
      <c r="AG89" s="98">
        <v>0.85416925944200328</v>
      </c>
      <c r="AH89" s="100">
        <f t="shared" si="10"/>
        <v>0.59062776304155618</v>
      </c>
      <c r="AI89" s="101">
        <v>3.6079814323607428E-3</v>
      </c>
      <c r="AJ89" s="101">
        <v>7.3224137931034482E-3</v>
      </c>
      <c r="AK89" s="102">
        <v>848</v>
      </c>
      <c r="AL89" s="103">
        <v>0</v>
      </c>
      <c r="AM89" s="75">
        <f t="shared" si="11"/>
        <v>-4.9017286289367745E-2</v>
      </c>
      <c r="AN89" s="75">
        <f t="shared" si="12"/>
        <v>8.3483010549339429</v>
      </c>
      <c r="AO89" s="75">
        <f t="shared" si="13"/>
        <v>-1.4315860345803346</v>
      </c>
    </row>
    <row r="90" spans="1:41" ht="14.5">
      <c r="A90" s="40">
        <v>2015</v>
      </c>
      <c r="B90" s="41" t="s">
        <v>349</v>
      </c>
      <c r="C90" s="41" t="s">
        <v>350</v>
      </c>
      <c r="D90" s="41" t="s">
        <v>105</v>
      </c>
      <c r="E90" s="40">
        <v>952</v>
      </c>
      <c r="F90" s="40">
        <v>3251</v>
      </c>
      <c r="G90" s="40">
        <v>213</v>
      </c>
      <c r="H90" s="40">
        <v>393</v>
      </c>
      <c r="I90" s="40">
        <v>628</v>
      </c>
      <c r="J90" s="40">
        <v>278</v>
      </c>
      <c r="K90" s="40">
        <v>646</v>
      </c>
      <c r="L90" s="40">
        <v>71</v>
      </c>
      <c r="M90" s="40">
        <v>250</v>
      </c>
      <c r="N90" s="40">
        <v>1314</v>
      </c>
      <c r="O90" s="40">
        <v>26</v>
      </c>
      <c r="P90" s="40">
        <v>0</v>
      </c>
      <c r="Q90" s="40">
        <v>0</v>
      </c>
      <c r="R90" s="40">
        <v>917</v>
      </c>
      <c r="S90" s="40">
        <v>1</v>
      </c>
      <c r="T90" s="91">
        <v>1</v>
      </c>
      <c r="U90" s="40">
        <v>1040</v>
      </c>
      <c r="V90" s="40">
        <v>-755</v>
      </c>
      <c r="W90" s="93">
        <f t="shared" si="1"/>
        <v>1271</v>
      </c>
      <c r="X90" s="50">
        <f t="shared" si="2"/>
        <v>0</v>
      </c>
      <c r="Y90" s="93">
        <f t="shared" si="3"/>
        <v>393</v>
      </c>
      <c r="Z90" s="50">
        <f t="shared" si="4"/>
        <v>2.8679999999999999</v>
      </c>
      <c r="AA90">
        <f t="shared" si="5"/>
        <v>-74</v>
      </c>
      <c r="AB90" s="50">
        <f t="shared" si="6"/>
        <v>9.8123654260227622E-2</v>
      </c>
      <c r="AC90" s="50">
        <f t="shared" si="7"/>
        <v>0.23227917121046893</v>
      </c>
      <c r="AD90" s="50">
        <f t="shared" si="8"/>
        <v>0.19317133189787758</v>
      </c>
      <c r="AE90" s="50">
        <f t="shared" si="9"/>
        <v>2.8353326063249727E-2</v>
      </c>
      <c r="AF90" s="96">
        <v>0</v>
      </c>
      <c r="AG90" s="98">
        <v>0.82894621527102119</v>
      </c>
      <c r="AH90" s="100">
        <f t="shared" si="10"/>
        <v>1.5979643765903309</v>
      </c>
      <c r="AI90" s="101">
        <v>4.3982086513994914E-3</v>
      </c>
      <c r="AJ90" s="101">
        <v>8.4054707379134855E-3</v>
      </c>
      <c r="AK90" s="102">
        <v>835</v>
      </c>
      <c r="AL90" s="103">
        <v>0</v>
      </c>
      <c r="AM90" s="75">
        <f t="shared" si="11"/>
        <v>-0.23223623500461396</v>
      </c>
      <c r="AN90" s="75">
        <f t="shared" si="12"/>
        <v>8.0867179203039061</v>
      </c>
      <c r="AO90" s="75">
        <f t="shared" si="13"/>
        <v>-2.3215268175190609</v>
      </c>
    </row>
    <row r="91" spans="1:41" ht="14.5">
      <c r="A91" s="40">
        <v>2016</v>
      </c>
      <c r="B91" s="41" t="s">
        <v>349</v>
      </c>
      <c r="C91" s="41" t="s">
        <v>350</v>
      </c>
      <c r="D91" s="41" t="s">
        <v>105</v>
      </c>
      <c r="E91" s="40">
        <v>1013</v>
      </c>
      <c r="F91" s="40">
        <v>3401</v>
      </c>
      <c r="G91" s="40">
        <v>301</v>
      </c>
      <c r="H91" s="40">
        <v>454</v>
      </c>
      <c r="I91" s="40">
        <v>485</v>
      </c>
      <c r="J91" s="40">
        <v>-165</v>
      </c>
      <c r="K91" s="40">
        <v>744</v>
      </c>
      <c r="L91" s="40">
        <v>49</v>
      </c>
      <c r="M91" s="40">
        <v>196</v>
      </c>
      <c r="N91" s="40">
        <v>1129</v>
      </c>
      <c r="O91" s="40">
        <v>314</v>
      </c>
      <c r="P91" s="40">
        <v>0</v>
      </c>
      <c r="Q91" s="40">
        <v>0</v>
      </c>
      <c r="R91" s="40">
        <v>987</v>
      </c>
      <c r="S91" s="40">
        <v>4</v>
      </c>
      <c r="T91" s="91">
        <v>4</v>
      </c>
      <c r="U91" s="40">
        <v>1040</v>
      </c>
      <c r="V91" s="40">
        <v>53</v>
      </c>
      <c r="W91" s="93">
        <f t="shared" si="1"/>
        <v>2497</v>
      </c>
      <c r="X91" s="50">
        <f t="shared" si="2"/>
        <v>0</v>
      </c>
      <c r="Y91" s="93">
        <f t="shared" si="3"/>
        <v>1816</v>
      </c>
      <c r="Z91" s="50">
        <f t="shared" si="4"/>
        <v>4.045918367346939</v>
      </c>
      <c r="AA91">
        <f t="shared" si="5"/>
        <v>-332</v>
      </c>
      <c r="AB91" s="50">
        <f t="shared" si="6"/>
        <v>0.43634225227874157</v>
      </c>
      <c r="AC91" s="50">
        <f t="shared" si="7"/>
        <v>0.30496453900709219</v>
      </c>
      <c r="AD91" s="50">
        <f t="shared" si="8"/>
        <v>0.14260511614231108</v>
      </c>
      <c r="AE91" s="50">
        <f t="shared" si="9"/>
        <v>0.31813576494427559</v>
      </c>
      <c r="AF91" s="96">
        <v>0</v>
      </c>
      <c r="AG91" s="98">
        <v>0.39151073270105724</v>
      </c>
      <c r="AH91" s="100">
        <f t="shared" si="10"/>
        <v>0.26707048458149779</v>
      </c>
      <c r="AI91" s="101">
        <v>7.1574998215859038E-3</v>
      </c>
      <c r="AJ91" s="101">
        <v>9.1593612334801757E-3</v>
      </c>
      <c r="AK91" s="102">
        <v>739</v>
      </c>
      <c r="AL91" s="103">
        <v>0</v>
      </c>
      <c r="AM91" s="75">
        <f t="shared" si="11"/>
        <v>1.5583651867097913E-2</v>
      </c>
      <c r="AN91" s="75">
        <f t="shared" si="12"/>
        <v>8.1318247850071952</v>
      </c>
      <c r="AO91" s="75">
        <f t="shared" si="13"/>
        <v>-0.82932836127986964</v>
      </c>
    </row>
    <row r="92" spans="1:41" ht="14.5">
      <c r="A92" s="40">
        <v>2017</v>
      </c>
      <c r="B92" s="41" t="s">
        <v>349</v>
      </c>
      <c r="C92" s="41" t="s">
        <v>350</v>
      </c>
      <c r="D92" s="41" t="s">
        <v>105</v>
      </c>
      <c r="E92" s="40">
        <v>1161</v>
      </c>
      <c r="F92" s="40">
        <v>3967</v>
      </c>
      <c r="G92" s="40">
        <v>240</v>
      </c>
      <c r="H92" s="40">
        <v>466</v>
      </c>
      <c r="I92" s="40">
        <v>392</v>
      </c>
      <c r="J92" s="40">
        <v>-177</v>
      </c>
      <c r="K92" s="40">
        <v>791</v>
      </c>
      <c r="L92" s="40">
        <v>146</v>
      </c>
      <c r="M92" s="40">
        <v>231</v>
      </c>
      <c r="N92" s="40">
        <v>1120</v>
      </c>
      <c r="O92" s="40">
        <v>295</v>
      </c>
      <c r="P92" s="40">
        <v>0</v>
      </c>
      <c r="Q92" s="40">
        <v>0</v>
      </c>
      <c r="R92" s="40">
        <v>1095</v>
      </c>
      <c r="S92" s="40">
        <v>6</v>
      </c>
      <c r="T92" s="91">
        <v>6</v>
      </c>
      <c r="U92" s="40">
        <v>1040</v>
      </c>
      <c r="V92" s="40">
        <v>502</v>
      </c>
      <c r="W92" s="93">
        <f t="shared" si="1"/>
        <v>3419</v>
      </c>
      <c r="X92" s="50">
        <f t="shared" si="2"/>
        <v>0</v>
      </c>
      <c r="Y92" s="93">
        <f t="shared" si="3"/>
        <v>2796</v>
      </c>
      <c r="Z92" s="50">
        <f t="shared" si="4"/>
        <v>4.0562770562770565</v>
      </c>
      <c r="AA92">
        <f t="shared" si="5"/>
        <v>-538</v>
      </c>
      <c r="AB92" s="50">
        <f t="shared" si="6"/>
        <v>0.56919586589362237</v>
      </c>
      <c r="AC92" s="50">
        <f t="shared" si="7"/>
        <v>0.21917808219178081</v>
      </c>
      <c r="AD92" s="50">
        <f t="shared" si="8"/>
        <v>9.8815225611293175E-2</v>
      </c>
      <c r="AE92" s="50">
        <f t="shared" si="9"/>
        <v>0.26940639269406391</v>
      </c>
      <c r="AF92" s="96">
        <v>0</v>
      </c>
      <c r="AG92" s="98">
        <v>2.1847503992668176</v>
      </c>
      <c r="AH92" s="100">
        <f t="shared" si="10"/>
        <v>0.1402002861230329</v>
      </c>
      <c r="AI92" s="101">
        <v>8.459356223175965E-3</v>
      </c>
      <c r="AJ92" s="101">
        <v>1.1099892703862661E-2</v>
      </c>
      <c r="AK92" s="102">
        <v>755</v>
      </c>
      <c r="AL92" s="103">
        <v>0</v>
      </c>
      <c r="AM92" s="75">
        <f t="shared" si="11"/>
        <v>0.12654398790017646</v>
      </c>
      <c r="AN92" s="75">
        <f t="shared" si="12"/>
        <v>8.2857654205143305</v>
      </c>
      <c r="AO92" s="75">
        <f t="shared" si="13"/>
        <v>-0.56353067580472282</v>
      </c>
    </row>
    <row r="93" spans="1:41" ht="14.5">
      <c r="A93" s="47">
        <v>2009</v>
      </c>
      <c r="B93" s="49" t="s">
        <v>368</v>
      </c>
      <c r="C93" s="49" t="s">
        <v>369</v>
      </c>
      <c r="D93" s="49" t="s">
        <v>105</v>
      </c>
      <c r="E93" s="53">
        <v>394.95499999999998</v>
      </c>
      <c r="F93" s="53">
        <v>2488.259</v>
      </c>
      <c r="G93" s="53">
        <v>111.52200000000001</v>
      </c>
      <c r="H93" s="53">
        <v>388.815</v>
      </c>
      <c r="I93" s="53">
        <v>225.45599999999999</v>
      </c>
      <c r="J93" s="51">
        <v>-54</v>
      </c>
      <c r="K93" s="51">
        <v>272</v>
      </c>
      <c r="L93" s="51">
        <v>10</v>
      </c>
      <c r="M93" s="51">
        <v>93</v>
      </c>
      <c r="N93" s="51">
        <v>757</v>
      </c>
      <c r="O93" s="51">
        <v>85</v>
      </c>
      <c r="P93" s="47">
        <v>105</v>
      </c>
      <c r="Q93" s="47">
        <v>0</v>
      </c>
      <c r="R93" s="47">
        <v>324</v>
      </c>
      <c r="S93" s="253">
        <v>3.64</v>
      </c>
      <c r="T93" s="51">
        <v>3.64</v>
      </c>
      <c r="U93" s="47">
        <v>1040</v>
      </c>
      <c r="V93" s="136">
        <v>-194</v>
      </c>
      <c r="W93" s="53">
        <f t="shared" si="1"/>
        <v>1733.7426</v>
      </c>
      <c r="X93" s="58">
        <f t="shared" si="2"/>
        <v>6.0562623309826959E-2</v>
      </c>
      <c r="Y93" s="53">
        <f t="shared" si="3"/>
        <v>1415.2866000000001</v>
      </c>
      <c r="Z93" s="58">
        <f t="shared" si="4"/>
        <v>3.032258064516129</v>
      </c>
      <c r="AA93" s="254">
        <f t="shared" si="5"/>
        <v>-76.498999999999995</v>
      </c>
      <c r="AB93" s="58">
        <f t="shared" si="6"/>
        <v>0.53804189997906171</v>
      </c>
      <c r="AC93" s="58">
        <f t="shared" si="7"/>
        <v>0.34420370370370373</v>
      </c>
      <c r="AD93" s="58">
        <f t="shared" si="8"/>
        <v>9.0607931087559615E-2</v>
      </c>
      <c r="AE93" s="58">
        <f t="shared" si="9"/>
        <v>0.26234567901234568</v>
      </c>
      <c r="AF93" s="83">
        <v>0.95652173913043481</v>
      </c>
      <c r="AG93" s="83">
        <v>0.34201407517166449</v>
      </c>
      <c r="AH93" s="66">
        <f t="shared" si="10"/>
        <v>0.15930059678371855</v>
      </c>
      <c r="AI93" s="68">
        <v>3.8578758535550328E-4</v>
      </c>
      <c r="AJ93" s="68">
        <v>1.4927407636022273E-2</v>
      </c>
      <c r="AK93" s="70">
        <v>534</v>
      </c>
      <c r="AL93" s="72">
        <v>0.17502974291185372</v>
      </c>
      <c r="AM93" s="75">
        <f t="shared" si="11"/>
        <v>-7.7966160275116062E-2</v>
      </c>
      <c r="AN93" s="75">
        <f t="shared" si="12"/>
        <v>7.8193385481195312</v>
      </c>
      <c r="AO93" s="75">
        <f t="shared" si="13"/>
        <v>-0.61981884085094696</v>
      </c>
    </row>
    <row r="94" spans="1:41" ht="14.5">
      <c r="A94" s="47">
        <v>2010</v>
      </c>
      <c r="B94" s="49" t="s">
        <v>368</v>
      </c>
      <c r="C94" s="49" t="s">
        <v>369</v>
      </c>
      <c r="D94" s="49" t="s">
        <v>105</v>
      </c>
      <c r="E94" s="53">
        <v>625.46</v>
      </c>
      <c r="F94" s="53">
        <v>2738.9140000000002</v>
      </c>
      <c r="G94" s="53">
        <v>612.16499999999996</v>
      </c>
      <c r="H94" s="53">
        <v>399.04199999999997</v>
      </c>
      <c r="I94" s="53">
        <v>229.88399999999999</v>
      </c>
      <c r="J94" s="51">
        <v>-417</v>
      </c>
      <c r="K94" s="51">
        <v>491</v>
      </c>
      <c r="L94" s="51">
        <v>12</v>
      </c>
      <c r="M94" s="51">
        <v>141</v>
      </c>
      <c r="N94" s="51">
        <v>846</v>
      </c>
      <c r="O94" s="51">
        <v>181</v>
      </c>
      <c r="P94" s="47">
        <v>2</v>
      </c>
      <c r="Q94" s="47">
        <v>0</v>
      </c>
      <c r="R94" s="47">
        <v>530</v>
      </c>
      <c r="S94" s="253">
        <v>9.76</v>
      </c>
      <c r="T94" s="51">
        <v>9.76</v>
      </c>
      <c r="U94" s="47">
        <v>1040</v>
      </c>
      <c r="V94" s="136">
        <v>177</v>
      </c>
      <c r="W94" s="53">
        <f t="shared" si="1"/>
        <v>4265.5339199999999</v>
      </c>
      <c r="X94" s="58">
        <f t="shared" si="2"/>
        <v>4.6887448031359227E-4</v>
      </c>
      <c r="Y94" s="53">
        <f t="shared" si="3"/>
        <v>3894.6499199999998</v>
      </c>
      <c r="Z94" s="58">
        <f t="shared" si="4"/>
        <v>3.5673758865248226</v>
      </c>
      <c r="AA94" s="254">
        <f t="shared" si="5"/>
        <v>-254.57600000000005</v>
      </c>
      <c r="AB94" s="58">
        <f t="shared" si="6"/>
        <v>1.32902088930138</v>
      </c>
      <c r="AC94" s="58">
        <f t="shared" si="7"/>
        <v>1.1550283018867924</v>
      </c>
      <c r="AD94" s="58">
        <f t="shared" si="8"/>
        <v>8.3932536764571644E-2</v>
      </c>
      <c r="AE94" s="58">
        <f t="shared" si="9"/>
        <v>0.34150943396226413</v>
      </c>
      <c r="AF94" s="83">
        <v>0.67692307692307696</v>
      </c>
      <c r="AG94" s="83">
        <v>0</v>
      </c>
      <c r="AH94" s="66">
        <f t="shared" si="10"/>
        <v>5.9025587593762467E-2</v>
      </c>
      <c r="AI94" s="68">
        <v>1.6324096210423966E-3</v>
      </c>
      <c r="AJ94" s="68">
        <v>1.5577307651826123E-2</v>
      </c>
      <c r="AK94" s="70">
        <v>554</v>
      </c>
      <c r="AL94" s="72">
        <v>0.17865892996512397</v>
      </c>
      <c r="AM94" s="75">
        <f t="shared" si="11"/>
        <v>6.4624153952990121E-2</v>
      </c>
      <c r="AN94" s="75">
        <f t="shared" si="12"/>
        <v>7.9153167704495857</v>
      </c>
      <c r="AO94" s="75">
        <f t="shared" si="13"/>
        <v>0.28444249766730995</v>
      </c>
    </row>
    <row r="95" spans="1:41" ht="14.5">
      <c r="A95" s="47">
        <v>2011</v>
      </c>
      <c r="B95" s="49" t="s">
        <v>368</v>
      </c>
      <c r="C95" s="49" t="s">
        <v>369</v>
      </c>
      <c r="D95" s="49" t="s">
        <v>105</v>
      </c>
      <c r="E95" s="53">
        <v>461.39600000000002</v>
      </c>
      <c r="F95" s="53">
        <v>3221.402</v>
      </c>
      <c r="G95" s="53">
        <v>413.62</v>
      </c>
      <c r="H95" s="53">
        <v>461.358</v>
      </c>
      <c r="I95" s="53">
        <v>251.66399999999999</v>
      </c>
      <c r="J95" s="51">
        <v>-403</v>
      </c>
      <c r="K95" s="51">
        <v>309</v>
      </c>
      <c r="L95" s="51">
        <v>38</v>
      </c>
      <c r="M95" s="51">
        <v>223</v>
      </c>
      <c r="N95" s="51">
        <v>939</v>
      </c>
      <c r="O95" s="47">
        <v>230</v>
      </c>
      <c r="P95" s="47">
        <v>6</v>
      </c>
      <c r="Q95" s="47">
        <v>0</v>
      </c>
      <c r="R95" s="51">
        <v>696</v>
      </c>
      <c r="S95" s="253">
        <v>10.08</v>
      </c>
      <c r="T95" s="51">
        <v>10.08</v>
      </c>
      <c r="U95" s="47">
        <v>1040</v>
      </c>
      <c r="V95" s="136">
        <v>179</v>
      </c>
      <c r="W95" s="53">
        <f t="shared" si="1"/>
        <v>5125.1526400000002</v>
      </c>
      <c r="X95" s="58">
        <f t="shared" si="2"/>
        <v>1.1706968399676774E-3</v>
      </c>
      <c r="Y95" s="53">
        <f t="shared" si="3"/>
        <v>4650.4886400000005</v>
      </c>
      <c r="Z95" s="58">
        <f t="shared" si="4"/>
        <v>1.5560538116591929</v>
      </c>
      <c r="AA95" s="254">
        <f t="shared" si="5"/>
        <v>13.267999999999972</v>
      </c>
      <c r="AB95" s="58">
        <f t="shared" si="6"/>
        <v>1.447741275382582</v>
      </c>
      <c r="AC95" s="58">
        <f t="shared" si="7"/>
        <v>0.59428160919540229</v>
      </c>
      <c r="AD95" s="58">
        <f t="shared" si="8"/>
        <v>7.81225069084827E-2</v>
      </c>
      <c r="AE95" s="58">
        <f t="shared" si="9"/>
        <v>0.33045977011494254</v>
      </c>
      <c r="AF95" s="83">
        <v>0.46588235294117647</v>
      </c>
      <c r="AG95" s="83">
        <v>0</v>
      </c>
      <c r="AH95" s="66">
        <f t="shared" si="10"/>
        <v>5.4115603645469815E-2</v>
      </c>
      <c r="AI95" s="68">
        <v>1.8001443564433694E-3</v>
      </c>
      <c r="AJ95" s="68">
        <v>1.478526437170267E-2</v>
      </c>
      <c r="AK95" s="70">
        <v>676</v>
      </c>
      <c r="AL95" s="72">
        <v>0.10149179688162324</v>
      </c>
      <c r="AM95" s="75">
        <f t="shared" si="11"/>
        <v>5.5565868525567441E-2</v>
      </c>
      <c r="AN95" s="75">
        <f t="shared" si="12"/>
        <v>8.0775719475044649</v>
      </c>
      <c r="AO95" s="75">
        <f t="shared" si="13"/>
        <v>0.37000460077687436</v>
      </c>
    </row>
    <row r="96" spans="1:41" ht="14.5">
      <c r="A96" s="47">
        <v>2012</v>
      </c>
      <c r="B96" s="49" t="s">
        <v>368</v>
      </c>
      <c r="C96" s="49" t="s">
        <v>369</v>
      </c>
      <c r="D96" s="49" t="s">
        <v>105</v>
      </c>
      <c r="E96" s="53">
        <v>917.5</v>
      </c>
      <c r="F96" s="53">
        <v>4283.7</v>
      </c>
      <c r="G96" s="53">
        <v>522</v>
      </c>
      <c r="H96" s="53">
        <v>476.00299999999999</v>
      </c>
      <c r="I96" s="53">
        <v>847.8</v>
      </c>
      <c r="J96" s="47">
        <v>-498</v>
      </c>
      <c r="K96" s="47">
        <v>688</v>
      </c>
      <c r="L96" s="47">
        <v>54</v>
      </c>
      <c r="M96" s="47">
        <v>177</v>
      </c>
      <c r="N96" s="47">
        <v>1607</v>
      </c>
      <c r="O96" s="47">
        <v>236</v>
      </c>
      <c r="P96" s="47">
        <v>6</v>
      </c>
      <c r="Q96" s="47">
        <v>0</v>
      </c>
      <c r="R96" s="47">
        <v>791</v>
      </c>
      <c r="S96" s="253">
        <v>11.03</v>
      </c>
      <c r="T96" s="51">
        <v>11.03</v>
      </c>
      <c r="U96" s="47">
        <v>1040</v>
      </c>
      <c r="V96" s="136">
        <v>199</v>
      </c>
      <c r="W96" s="53">
        <f t="shared" si="1"/>
        <v>6275.1130899999998</v>
      </c>
      <c r="X96" s="58">
        <f t="shared" si="2"/>
        <v>9.5615806662697133E-4</v>
      </c>
      <c r="Y96" s="53">
        <f t="shared" si="3"/>
        <v>5250.3130899999996</v>
      </c>
      <c r="Z96" s="58">
        <f t="shared" si="4"/>
        <v>4.1920903954802258</v>
      </c>
      <c r="AA96" s="268">
        <f t="shared" si="5"/>
        <v>107.29999999999995</v>
      </c>
      <c r="AB96" s="58">
        <f t="shared" si="6"/>
        <v>1.2506975488479586</v>
      </c>
      <c r="AC96" s="58">
        <f t="shared" si="7"/>
        <v>0.65992414664981036</v>
      </c>
      <c r="AD96" s="58">
        <f t="shared" si="8"/>
        <v>0.19791301911898593</v>
      </c>
      <c r="AE96" s="58">
        <f t="shared" si="9"/>
        <v>0.29835651074589126</v>
      </c>
      <c r="AF96" s="83">
        <v>0.28695652173913044</v>
      </c>
      <c r="AG96" s="83">
        <v>0</v>
      </c>
      <c r="AH96" s="66">
        <f t="shared" si="10"/>
        <v>0.16147608446718364</v>
      </c>
      <c r="AI96" s="68">
        <v>1.6113007691127997E-3</v>
      </c>
      <c r="AJ96" s="68">
        <v>1.3518822360363275E-2</v>
      </c>
      <c r="AK96" s="70">
        <v>679</v>
      </c>
      <c r="AL96" s="72">
        <v>0.23514315286237839</v>
      </c>
      <c r="AM96" s="75">
        <f t="shared" si="11"/>
        <v>4.6455167261946449E-2</v>
      </c>
      <c r="AN96" s="75">
        <f t="shared" si="12"/>
        <v>8.3625724011043587</v>
      </c>
      <c r="AO96" s="75">
        <f t="shared" si="13"/>
        <v>0.22370143474667178</v>
      </c>
    </row>
    <row r="97" spans="1:41" ht="14.5">
      <c r="A97" s="47">
        <v>2013</v>
      </c>
      <c r="B97" s="49" t="s">
        <v>368</v>
      </c>
      <c r="C97" s="49" t="s">
        <v>369</v>
      </c>
      <c r="D97" s="49" t="s">
        <v>105</v>
      </c>
      <c r="E97" s="53">
        <v>658</v>
      </c>
      <c r="F97" s="53">
        <v>4199</v>
      </c>
      <c r="G97" s="53">
        <v>289.3</v>
      </c>
      <c r="H97" s="53">
        <v>503.43700000000001</v>
      </c>
      <c r="I97" s="53">
        <v>862.5</v>
      </c>
      <c r="J97" s="47">
        <v>-394</v>
      </c>
      <c r="K97" s="47">
        <v>414</v>
      </c>
      <c r="L97" s="47">
        <v>52</v>
      </c>
      <c r="M97" s="47">
        <v>90</v>
      </c>
      <c r="N97" s="47">
        <v>1479</v>
      </c>
      <c r="O97" s="47">
        <v>172</v>
      </c>
      <c r="P97" s="47">
        <v>10</v>
      </c>
      <c r="Q97" s="47">
        <v>0</v>
      </c>
      <c r="R97" s="47">
        <v>780</v>
      </c>
      <c r="S97" s="253">
        <v>5.24</v>
      </c>
      <c r="T97" s="51">
        <v>5.24</v>
      </c>
      <c r="U97" s="47">
        <v>1040</v>
      </c>
      <c r="V97" s="136">
        <v>-191</v>
      </c>
      <c r="W97" s="53">
        <f t="shared" si="1"/>
        <v>3590.5098800000001</v>
      </c>
      <c r="X97" s="58">
        <f t="shared" si="2"/>
        <v>2.785119755749008E-3</v>
      </c>
      <c r="Y97" s="53">
        <f t="shared" si="3"/>
        <v>2638.0098800000001</v>
      </c>
      <c r="Z97" s="58">
        <f t="shared" si="4"/>
        <v>5.177777777777778</v>
      </c>
      <c r="AA97" s="268">
        <f t="shared" si="5"/>
        <v>294.5</v>
      </c>
      <c r="AB97" s="58">
        <f t="shared" si="6"/>
        <v>0.69838291974279587</v>
      </c>
      <c r="AC97" s="58">
        <f t="shared" si="7"/>
        <v>0.3708974358974359</v>
      </c>
      <c r="AD97" s="58">
        <f t="shared" si="8"/>
        <v>0.20540604905929982</v>
      </c>
      <c r="AE97" s="58">
        <f t="shared" si="9"/>
        <v>0.22051282051282051</v>
      </c>
      <c r="AF97" s="83">
        <v>0</v>
      </c>
      <c r="AG97" s="83">
        <v>0</v>
      </c>
      <c r="AH97" s="66">
        <f t="shared" si="10"/>
        <v>0.32695101202577753</v>
      </c>
      <c r="AI97" s="68">
        <v>3.3973128713225289E-3</v>
      </c>
      <c r="AJ97" s="68">
        <v>1.3576673943313662E-2</v>
      </c>
      <c r="AK97" s="70">
        <v>658</v>
      </c>
      <c r="AL97" s="72">
        <v>0.39000417776067725</v>
      </c>
      <c r="AM97" s="75">
        <f t="shared" si="11"/>
        <v>-4.5487020719218861E-2</v>
      </c>
      <c r="AN97" s="75">
        <f t="shared" si="12"/>
        <v>8.3426016806841936</v>
      </c>
      <c r="AO97" s="75">
        <f t="shared" si="13"/>
        <v>-0.35898773102327841</v>
      </c>
    </row>
    <row r="98" spans="1:41" ht="14.5">
      <c r="A98" s="47">
        <v>2014</v>
      </c>
      <c r="B98" s="49" t="s">
        <v>368</v>
      </c>
      <c r="C98" s="49" t="s">
        <v>369</v>
      </c>
      <c r="D98" s="49" t="s">
        <v>105</v>
      </c>
      <c r="E98" s="53">
        <v>634.5</v>
      </c>
      <c r="F98" s="53">
        <v>3881.8</v>
      </c>
      <c r="G98" s="53">
        <v>279.3</v>
      </c>
      <c r="H98" s="53">
        <v>504.678</v>
      </c>
      <c r="I98" s="53">
        <v>874.3</v>
      </c>
      <c r="J98" s="47">
        <v>-258</v>
      </c>
      <c r="K98" s="47">
        <v>371</v>
      </c>
      <c r="L98" s="47">
        <v>66</v>
      </c>
      <c r="M98" s="47">
        <v>105</v>
      </c>
      <c r="N98" s="47">
        <v>1611</v>
      </c>
      <c r="O98" s="47">
        <v>269</v>
      </c>
      <c r="P98" s="47">
        <v>43</v>
      </c>
      <c r="Q98" s="47">
        <v>0</v>
      </c>
      <c r="R98" s="47">
        <v>726</v>
      </c>
      <c r="S98" s="253">
        <v>4.3</v>
      </c>
      <c r="T98" s="51">
        <v>4.3</v>
      </c>
      <c r="U98" s="47">
        <v>1040</v>
      </c>
      <c r="V98" s="136">
        <v>-477</v>
      </c>
      <c r="W98" s="53">
        <f t="shared" si="1"/>
        <v>3149.4153999999999</v>
      </c>
      <c r="X98" s="58">
        <f t="shared" si="2"/>
        <v>1.3653327535008562E-2</v>
      </c>
      <c r="Y98" s="53">
        <f t="shared" si="3"/>
        <v>2170.1153999999997</v>
      </c>
      <c r="Z98" s="58">
        <f t="shared" si="4"/>
        <v>4.1619047619047622</v>
      </c>
      <c r="AA98" s="268">
        <f t="shared" si="5"/>
        <v>344.79999999999995</v>
      </c>
      <c r="AB98" s="58">
        <f t="shared" si="6"/>
        <v>0.64787351228811374</v>
      </c>
      <c r="AC98" s="58">
        <f t="shared" si="7"/>
        <v>0.38471074380165293</v>
      </c>
      <c r="AD98" s="58">
        <f t="shared" si="8"/>
        <v>0.22523056314081094</v>
      </c>
      <c r="AE98" s="58">
        <f t="shared" si="9"/>
        <v>0.37052341597796146</v>
      </c>
      <c r="AF98" s="83">
        <v>0</v>
      </c>
      <c r="AG98" s="83">
        <v>0</v>
      </c>
      <c r="AH98" s="66">
        <f t="shared" si="10"/>
        <v>0.40288180066368823</v>
      </c>
      <c r="AI98" s="68">
        <v>4.8538890143814475E-3</v>
      </c>
      <c r="AJ98" s="68">
        <v>1.7611229338310764E-2</v>
      </c>
      <c r="AK98" s="70">
        <v>658</v>
      </c>
      <c r="AL98" s="72">
        <v>0.44236363636363635</v>
      </c>
      <c r="AM98" s="75">
        <f t="shared" si="11"/>
        <v>-0.12288113761656963</v>
      </c>
      <c r="AN98" s="75">
        <f t="shared" si="12"/>
        <v>8.2640542425666261</v>
      </c>
      <c r="AO98" s="75">
        <f t="shared" si="13"/>
        <v>-0.43405979876953732</v>
      </c>
    </row>
    <row r="99" spans="1:41" ht="14.5">
      <c r="A99" s="47">
        <v>2015</v>
      </c>
      <c r="B99" s="49" t="s">
        <v>368</v>
      </c>
      <c r="C99" s="49" t="s">
        <v>369</v>
      </c>
      <c r="D99" s="49" t="s">
        <v>105</v>
      </c>
      <c r="E99" s="53">
        <v>614.6</v>
      </c>
      <c r="F99" s="53">
        <v>3675.5</v>
      </c>
      <c r="G99" s="53">
        <v>389.5</v>
      </c>
      <c r="H99" s="53">
        <v>509.46899999999999</v>
      </c>
      <c r="I99" s="53">
        <v>787.6</v>
      </c>
      <c r="J99" s="47">
        <v>-325</v>
      </c>
      <c r="K99" s="47">
        <v>336</v>
      </c>
      <c r="L99" s="47">
        <v>125</v>
      </c>
      <c r="M99" s="47">
        <v>147</v>
      </c>
      <c r="N99" s="47">
        <v>1576</v>
      </c>
      <c r="O99" s="47">
        <v>263</v>
      </c>
      <c r="P99" s="47">
        <v>50</v>
      </c>
      <c r="Q99" s="47">
        <v>0</v>
      </c>
      <c r="R99" s="47">
        <v>713</v>
      </c>
      <c r="S99" s="253">
        <v>2.3199999999999998</v>
      </c>
      <c r="T99" s="51">
        <v>2.3199999999999998</v>
      </c>
      <c r="U99" s="47">
        <v>1040</v>
      </c>
      <c r="V99" s="136">
        <v>-201</v>
      </c>
      <c r="W99" s="53">
        <f t="shared" si="1"/>
        <v>2116.56808</v>
      </c>
      <c r="X99" s="58">
        <f t="shared" si="2"/>
        <v>2.3623147524742035E-2</v>
      </c>
      <c r="Y99" s="53">
        <f t="shared" si="3"/>
        <v>1181.9680799999999</v>
      </c>
      <c r="Z99" s="58">
        <f t="shared" si="4"/>
        <v>3.1360544217687076</v>
      </c>
      <c r="AA99" s="268">
        <f t="shared" si="5"/>
        <v>320</v>
      </c>
      <c r="AB99" s="58">
        <f t="shared" si="6"/>
        <v>0.40864319956468503</v>
      </c>
      <c r="AC99" s="58">
        <f t="shared" si="7"/>
        <v>0.54628330995792429</v>
      </c>
      <c r="AD99" s="58">
        <f t="shared" si="8"/>
        <v>0.2142837709155217</v>
      </c>
      <c r="AE99" s="58">
        <f t="shared" si="9"/>
        <v>0.3688639551192146</v>
      </c>
      <c r="AF99" s="83">
        <v>0</v>
      </c>
      <c r="AG99" s="83">
        <v>0.46471529162232289</v>
      </c>
      <c r="AH99" s="66">
        <f t="shared" si="10"/>
        <v>0.66634625192247166</v>
      </c>
      <c r="AI99" s="68">
        <v>4.8082434848832805E-3</v>
      </c>
      <c r="AJ99" s="68">
        <v>1.6949673091002593E-2</v>
      </c>
      <c r="AK99" s="70">
        <v>580</v>
      </c>
      <c r="AL99" s="72">
        <v>0.35418992846121478</v>
      </c>
      <c r="AM99" s="75">
        <f t="shared" si="11"/>
        <v>-5.4686437219425926E-2</v>
      </c>
      <c r="AN99" s="75">
        <f t="shared" si="12"/>
        <v>8.2094444568141416</v>
      </c>
      <c r="AO99" s="75">
        <f t="shared" si="13"/>
        <v>-0.89491287638032957</v>
      </c>
    </row>
    <row r="100" spans="1:41" ht="14.5">
      <c r="A100" s="47">
        <v>2016</v>
      </c>
      <c r="B100" s="49" t="s">
        <v>368</v>
      </c>
      <c r="C100" s="49" t="s">
        <v>369</v>
      </c>
      <c r="D100" s="49" t="s">
        <v>105</v>
      </c>
      <c r="E100" s="53">
        <v>409.6</v>
      </c>
      <c r="F100" s="53">
        <v>3948</v>
      </c>
      <c r="G100" s="53">
        <v>567</v>
      </c>
      <c r="H100" s="53">
        <v>513.70899999999995</v>
      </c>
      <c r="I100" s="53">
        <v>889.5</v>
      </c>
      <c r="J100" s="47">
        <v>-569</v>
      </c>
      <c r="K100" s="47">
        <v>186</v>
      </c>
      <c r="L100" s="47">
        <v>54</v>
      </c>
      <c r="M100" s="47">
        <v>175</v>
      </c>
      <c r="N100" s="47">
        <v>1865</v>
      </c>
      <c r="O100" s="47">
        <v>282</v>
      </c>
      <c r="P100" s="47">
        <v>16</v>
      </c>
      <c r="Q100" s="47">
        <v>0</v>
      </c>
      <c r="R100" s="47">
        <v>684</v>
      </c>
      <c r="S100" s="253">
        <v>3.5</v>
      </c>
      <c r="T100" s="51">
        <v>3.5</v>
      </c>
      <c r="U100" s="47">
        <v>1040</v>
      </c>
      <c r="V100" s="136">
        <v>3</v>
      </c>
      <c r="W100" s="53">
        <f t="shared" si="1"/>
        <v>2862.4814999999999</v>
      </c>
      <c r="X100" s="58">
        <f t="shared" si="2"/>
        <v>5.5895557752949675E-3</v>
      </c>
      <c r="Y100" s="53">
        <f t="shared" si="3"/>
        <v>1797.9814999999999</v>
      </c>
      <c r="Z100" s="58">
        <f t="shared" si="4"/>
        <v>1.3714285714285714</v>
      </c>
      <c r="AA100" s="268">
        <f t="shared" si="5"/>
        <v>654.9</v>
      </c>
      <c r="AB100" s="58">
        <f t="shared" si="6"/>
        <v>0.62129723910840928</v>
      </c>
      <c r="AC100" s="58">
        <f t="shared" si="7"/>
        <v>0.82894736842105265</v>
      </c>
      <c r="AD100" s="58">
        <f t="shared" si="8"/>
        <v>0.22530395136778114</v>
      </c>
      <c r="AE100" s="58">
        <f t="shared" si="9"/>
        <v>0.41228070175438597</v>
      </c>
      <c r="AF100" s="83">
        <v>0.27836088507597995</v>
      </c>
      <c r="AG100" s="83">
        <v>0.1048096958226728</v>
      </c>
      <c r="AH100" s="66">
        <f t="shared" si="10"/>
        <v>0.49472144179459027</v>
      </c>
      <c r="AI100" s="68">
        <v>3.4294571440251199E-3</v>
      </c>
      <c r="AJ100" s="68">
        <v>1.6809775573330427E-2</v>
      </c>
      <c r="AK100" s="70">
        <v>647</v>
      </c>
      <c r="AL100" s="72">
        <v>0.35611436092424686</v>
      </c>
      <c r="AM100" s="75">
        <f t="shared" si="11"/>
        <v>7.5987841945288754E-4</v>
      </c>
      <c r="AN100" s="75">
        <f t="shared" si="12"/>
        <v>8.2809644005533727</v>
      </c>
      <c r="AO100" s="75">
        <f t="shared" si="13"/>
        <v>-0.47594566565580942</v>
      </c>
    </row>
    <row r="101" spans="1:41" ht="14.5">
      <c r="A101" s="47">
        <v>2017</v>
      </c>
      <c r="B101" s="49" t="s">
        <v>368</v>
      </c>
      <c r="C101" s="49" t="s">
        <v>369</v>
      </c>
      <c r="D101" s="49" t="s">
        <v>105</v>
      </c>
      <c r="E101" s="53">
        <v>564</v>
      </c>
      <c r="F101" s="53">
        <v>4017.3</v>
      </c>
      <c r="G101" s="53">
        <v>567</v>
      </c>
      <c r="H101" s="53">
        <v>578.63599999999997</v>
      </c>
      <c r="I101" s="53">
        <v>1007.7</v>
      </c>
      <c r="J101" s="47">
        <v>-534</v>
      </c>
      <c r="K101" s="47">
        <v>216</v>
      </c>
      <c r="L101" s="47">
        <v>42</v>
      </c>
      <c r="M101" s="47">
        <v>244</v>
      </c>
      <c r="N101" s="47">
        <v>1878</v>
      </c>
      <c r="O101" s="47">
        <v>342</v>
      </c>
      <c r="P101" s="47">
        <v>21</v>
      </c>
      <c r="Q101" s="47">
        <v>0</v>
      </c>
      <c r="R101" s="47">
        <v>604</v>
      </c>
      <c r="S101" s="253">
        <v>3.29</v>
      </c>
      <c r="T101" s="51">
        <v>3.29</v>
      </c>
      <c r="U101" s="47">
        <v>1040</v>
      </c>
      <c r="V101" s="136">
        <v>-108</v>
      </c>
      <c r="W101" s="53">
        <f t="shared" si="1"/>
        <v>3155.4124400000001</v>
      </c>
      <c r="X101" s="58">
        <f t="shared" si="2"/>
        <v>6.6552314156434018E-3</v>
      </c>
      <c r="Y101" s="53">
        <f t="shared" si="3"/>
        <v>1903.71244</v>
      </c>
      <c r="Z101" s="58">
        <f t="shared" si="4"/>
        <v>1.0573770491803278</v>
      </c>
      <c r="AA101" s="268">
        <f t="shared" si="5"/>
        <v>687.7</v>
      </c>
      <c r="AB101" s="58">
        <f t="shared" si="6"/>
        <v>0.64506321160978763</v>
      </c>
      <c r="AC101" s="58">
        <f t="shared" si="7"/>
        <v>0.9387417218543046</v>
      </c>
      <c r="AD101" s="58">
        <f t="shared" si="8"/>
        <v>0.25084011649615412</v>
      </c>
      <c r="AE101" s="58">
        <f t="shared" si="9"/>
        <v>0.56622516556291391</v>
      </c>
      <c r="AF101" s="83">
        <v>0</v>
      </c>
      <c r="AG101" s="83">
        <v>0</v>
      </c>
      <c r="AH101" s="66">
        <f t="shared" si="10"/>
        <v>0.52933414670547618</v>
      </c>
      <c r="AI101" s="68">
        <v>2.0628322468702258E-3</v>
      </c>
      <c r="AJ101" s="68">
        <v>6.7337030533876222E-3</v>
      </c>
      <c r="AK101" s="70">
        <v>746</v>
      </c>
      <c r="AL101" s="72">
        <v>0.39702514890800794</v>
      </c>
      <c r="AM101" s="75">
        <f t="shared" si="11"/>
        <v>-2.6883727876932266E-2</v>
      </c>
      <c r="AN101" s="75">
        <f t="shared" si="12"/>
        <v>8.2983653141696294</v>
      </c>
      <c r="AO101" s="75">
        <f t="shared" si="13"/>
        <v>-0.43840696449250066</v>
      </c>
    </row>
    <row r="102" spans="1:41" ht="12.5">
      <c r="AB102" s="50"/>
      <c r="AC102" s="50"/>
      <c r="AD102" s="50"/>
      <c r="AE102" s="50"/>
      <c r="AF102" s="50"/>
      <c r="AG102" s="50"/>
    </row>
    <row r="103" spans="1:41" ht="12.5">
      <c r="AB103" s="50"/>
      <c r="AC103" s="50"/>
      <c r="AD103" s="50"/>
      <c r="AE103" s="50"/>
      <c r="AF103" s="50"/>
      <c r="AG103" s="50"/>
      <c r="AK103" s="159">
        <f>MIN(AK3:AK101)</f>
        <v>337</v>
      </c>
    </row>
    <row r="104" spans="1:41" ht="12.5">
      <c r="AB104" s="50"/>
      <c r="AC104" s="50"/>
      <c r="AD104" s="50"/>
      <c r="AE104" s="50"/>
      <c r="AF104" s="50"/>
      <c r="AG104" s="50"/>
      <c r="AK104" s="159">
        <f>MAX(AK3:AK101)</f>
        <v>884</v>
      </c>
    </row>
    <row r="105" spans="1:41" ht="12.5">
      <c r="AB105" s="50"/>
      <c r="AC105" s="50"/>
      <c r="AD105" s="50"/>
      <c r="AE105" s="50"/>
      <c r="AF105" s="50"/>
      <c r="AG105" s="50"/>
      <c r="AK105" s="159">
        <f>AK104-AK103</f>
        <v>547</v>
      </c>
    </row>
    <row r="106" spans="1:41" ht="12.5">
      <c r="AB106" s="50"/>
      <c r="AC106" s="50"/>
      <c r="AD106" s="50"/>
      <c r="AE106" s="50"/>
      <c r="AF106" s="50"/>
      <c r="AG106" s="50"/>
    </row>
    <row r="107" spans="1:41" ht="12.5">
      <c r="AB107" s="50"/>
      <c r="AC107" s="50"/>
      <c r="AD107" s="50"/>
      <c r="AE107" s="50"/>
      <c r="AF107" s="50"/>
      <c r="AG107" s="50"/>
    </row>
    <row r="108" spans="1:41" ht="12.5">
      <c r="AB108" s="50"/>
      <c r="AC108" s="50"/>
      <c r="AD108" s="50"/>
      <c r="AE108" s="50"/>
      <c r="AF108" s="50"/>
      <c r="AG108" s="50"/>
    </row>
    <row r="109" spans="1:41" ht="12.5">
      <c r="AB109" s="50"/>
      <c r="AC109" s="50"/>
      <c r="AD109" s="50"/>
      <c r="AE109" s="50"/>
      <c r="AF109" s="50"/>
      <c r="AG109" s="50"/>
    </row>
    <row r="110" spans="1:41" ht="12.5">
      <c r="AB110" s="50"/>
      <c r="AC110" s="50"/>
      <c r="AD110" s="50"/>
      <c r="AE110" s="50"/>
      <c r="AF110" s="50"/>
      <c r="AG110" s="50"/>
    </row>
    <row r="111" spans="1:41" ht="12.5">
      <c r="AB111" s="50"/>
      <c r="AC111" s="50"/>
      <c r="AD111" s="50"/>
      <c r="AE111" s="50"/>
      <c r="AF111" s="50"/>
      <c r="AG111" s="50"/>
    </row>
    <row r="112" spans="1:41" ht="12.5">
      <c r="AB112" s="50"/>
      <c r="AC112" s="50"/>
      <c r="AD112" s="50"/>
      <c r="AE112" s="50"/>
      <c r="AF112" s="50"/>
      <c r="AG112" s="50"/>
    </row>
    <row r="113" spans="28:33" ht="12.5">
      <c r="AB113" s="50"/>
      <c r="AC113" s="50"/>
      <c r="AD113" s="50"/>
      <c r="AE113" s="50"/>
      <c r="AF113" s="50"/>
      <c r="AG113" s="50"/>
    </row>
    <row r="114" spans="28:33" ht="12.5">
      <c r="AB114" s="50"/>
      <c r="AC114" s="50"/>
      <c r="AD114" s="50"/>
      <c r="AE114" s="50"/>
      <c r="AF114" s="50"/>
      <c r="AG114" s="50"/>
    </row>
    <row r="115" spans="28:33" ht="12.5">
      <c r="AB115" s="50"/>
      <c r="AC115" s="50"/>
      <c r="AD115" s="50"/>
      <c r="AE115" s="50"/>
      <c r="AF115" s="50"/>
      <c r="AG115" s="50"/>
    </row>
    <row r="116" spans="28:33" ht="12.5">
      <c r="AB116" s="50"/>
      <c r="AC116" s="50"/>
      <c r="AD116" s="50"/>
      <c r="AE116" s="50"/>
      <c r="AF116" s="50"/>
      <c r="AG116" s="50"/>
    </row>
    <row r="117" spans="28:33" ht="12.5">
      <c r="AB117" s="50"/>
      <c r="AC117" s="50"/>
      <c r="AD117" s="50"/>
      <c r="AE117" s="50"/>
      <c r="AF117" s="50"/>
      <c r="AG117" s="50"/>
    </row>
    <row r="118" spans="28:33" ht="12.5">
      <c r="AB118" s="50"/>
      <c r="AC118" s="50"/>
      <c r="AD118" s="50"/>
      <c r="AE118" s="50"/>
      <c r="AF118" s="50"/>
      <c r="AG118" s="50"/>
    </row>
    <row r="119" spans="28:33" ht="12.5">
      <c r="AB119" s="50"/>
      <c r="AC119" s="50"/>
      <c r="AD119" s="50"/>
      <c r="AE119" s="50"/>
      <c r="AF119" s="50"/>
      <c r="AG119" s="50"/>
    </row>
    <row r="120" spans="28:33" ht="12.5">
      <c r="AB120" s="50"/>
      <c r="AC120" s="50"/>
      <c r="AD120" s="50"/>
      <c r="AE120" s="50"/>
      <c r="AF120" s="50"/>
      <c r="AG120" s="50"/>
    </row>
    <row r="121" spans="28:33" ht="12.5">
      <c r="AB121" s="50"/>
      <c r="AC121" s="50"/>
      <c r="AD121" s="50"/>
      <c r="AE121" s="50"/>
      <c r="AF121" s="50"/>
      <c r="AG121" s="50"/>
    </row>
    <row r="122" spans="28:33" ht="12.5">
      <c r="AB122" s="50"/>
      <c r="AC122" s="50"/>
      <c r="AD122" s="50"/>
      <c r="AE122" s="50"/>
      <c r="AF122" s="50"/>
      <c r="AG122" s="50"/>
    </row>
    <row r="123" spans="28:33" ht="12.5">
      <c r="AB123" s="50"/>
      <c r="AC123" s="50"/>
      <c r="AD123" s="50"/>
      <c r="AE123" s="50"/>
      <c r="AF123" s="50"/>
      <c r="AG123" s="50"/>
    </row>
    <row r="124" spans="28:33" ht="12.5">
      <c r="AB124" s="50"/>
      <c r="AC124" s="50"/>
      <c r="AD124" s="50"/>
      <c r="AE124" s="50"/>
      <c r="AF124" s="50"/>
      <c r="AG124" s="50"/>
    </row>
    <row r="125" spans="28:33" ht="12.5">
      <c r="AB125" s="50"/>
      <c r="AC125" s="50"/>
      <c r="AD125" s="50"/>
      <c r="AE125" s="50"/>
      <c r="AF125" s="50"/>
      <c r="AG125" s="50"/>
    </row>
    <row r="126" spans="28:33" ht="12.5">
      <c r="AB126" s="50"/>
      <c r="AC126" s="50"/>
      <c r="AD126" s="50"/>
      <c r="AE126" s="50"/>
      <c r="AF126" s="50"/>
      <c r="AG126" s="50"/>
    </row>
    <row r="127" spans="28:33" ht="12.5">
      <c r="AB127" s="50"/>
      <c r="AC127" s="50"/>
      <c r="AD127" s="50"/>
      <c r="AE127" s="50"/>
      <c r="AF127" s="50"/>
      <c r="AG127" s="50"/>
    </row>
    <row r="128" spans="28:33" ht="12.5">
      <c r="AB128" s="50"/>
      <c r="AC128" s="50"/>
      <c r="AD128" s="50"/>
      <c r="AE128" s="50"/>
      <c r="AF128" s="50"/>
      <c r="AG128" s="50"/>
    </row>
    <row r="129" spans="28:33" ht="12.5">
      <c r="AB129" s="50"/>
      <c r="AC129" s="50"/>
      <c r="AD129" s="50"/>
      <c r="AE129" s="50"/>
      <c r="AF129" s="50"/>
      <c r="AG129" s="50"/>
    </row>
    <row r="130" spans="28:33" ht="12.5">
      <c r="AB130" s="50"/>
      <c r="AC130" s="50"/>
      <c r="AD130" s="50"/>
      <c r="AE130" s="50"/>
      <c r="AF130" s="50"/>
      <c r="AG130" s="50"/>
    </row>
    <row r="131" spans="28:33" ht="12.5">
      <c r="AB131" s="50"/>
      <c r="AC131" s="50"/>
      <c r="AD131" s="50"/>
      <c r="AE131" s="50"/>
      <c r="AF131" s="50"/>
      <c r="AG131" s="50"/>
    </row>
    <row r="132" spans="28:33" ht="12.5">
      <c r="AB132" s="50"/>
      <c r="AC132" s="50"/>
      <c r="AD132" s="50"/>
      <c r="AE132" s="50"/>
      <c r="AF132" s="50"/>
      <c r="AG132" s="50"/>
    </row>
    <row r="133" spans="28:33" ht="12.5">
      <c r="AB133" s="50"/>
      <c r="AC133" s="50"/>
      <c r="AD133" s="50"/>
      <c r="AE133" s="50"/>
      <c r="AF133" s="50"/>
      <c r="AG133" s="50"/>
    </row>
    <row r="134" spans="28:33" ht="12.5">
      <c r="AB134" s="50"/>
      <c r="AC134" s="50"/>
      <c r="AD134" s="50"/>
      <c r="AE134" s="50"/>
      <c r="AF134" s="50"/>
      <c r="AG134" s="50"/>
    </row>
    <row r="135" spans="28:33" ht="12.5">
      <c r="AB135" s="50"/>
      <c r="AC135" s="50"/>
      <c r="AD135" s="50"/>
      <c r="AE135" s="50"/>
      <c r="AF135" s="50"/>
      <c r="AG135" s="50"/>
    </row>
    <row r="136" spans="28:33" ht="12.5">
      <c r="AB136" s="50"/>
      <c r="AC136" s="50"/>
      <c r="AD136" s="50"/>
      <c r="AE136" s="50"/>
      <c r="AF136" s="50"/>
      <c r="AG136" s="50"/>
    </row>
    <row r="137" spans="28:33" ht="12.5">
      <c r="AB137" s="50"/>
      <c r="AC137" s="50"/>
      <c r="AD137" s="50"/>
      <c r="AE137" s="50"/>
      <c r="AF137" s="50"/>
      <c r="AG137" s="50"/>
    </row>
    <row r="138" spans="28:33" ht="12.5">
      <c r="AB138" s="50"/>
      <c r="AC138" s="50"/>
      <c r="AD138" s="50"/>
      <c r="AE138" s="50"/>
      <c r="AF138" s="50"/>
      <c r="AG138" s="50"/>
    </row>
    <row r="139" spans="28:33" ht="12.5">
      <c r="AB139" s="50"/>
      <c r="AC139" s="50"/>
      <c r="AD139" s="50"/>
      <c r="AE139" s="50"/>
      <c r="AF139" s="50"/>
      <c r="AG139" s="50"/>
    </row>
    <row r="140" spans="28:33" ht="12.5">
      <c r="AB140" s="50"/>
      <c r="AC140" s="50"/>
      <c r="AD140" s="50"/>
      <c r="AE140" s="50"/>
      <c r="AF140" s="50"/>
      <c r="AG140" s="50"/>
    </row>
    <row r="141" spans="28:33" ht="12.5">
      <c r="AB141" s="50"/>
      <c r="AC141" s="50"/>
      <c r="AD141" s="50"/>
      <c r="AE141" s="50"/>
      <c r="AF141" s="50"/>
      <c r="AG141" s="50"/>
    </row>
    <row r="142" spans="28:33" ht="12.5">
      <c r="AB142" s="50"/>
      <c r="AC142" s="50"/>
      <c r="AD142" s="50"/>
      <c r="AE142" s="50"/>
      <c r="AF142" s="50"/>
      <c r="AG142" s="50"/>
    </row>
    <row r="143" spans="28:33" ht="12.5">
      <c r="AB143" s="50"/>
      <c r="AC143" s="50"/>
      <c r="AD143" s="50"/>
      <c r="AE143" s="50"/>
      <c r="AF143" s="50"/>
      <c r="AG143" s="50"/>
    </row>
    <row r="144" spans="28:33" ht="12.5">
      <c r="AB144" s="50"/>
      <c r="AC144" s="50"/>
      <c r="AD144" s="50"/>
      <c r="AE144" s="50"/>
      <c r="AF144" s="50"/>
      <c r="AG144" s="50"/>
    </row>
    <row r="145" spans="28:33" ht="12.5">
      <c r="AB145" s="50"/>
      <c r="AC145" s="50"/>
      <c r="AD145" s="50"/>
      <c r="AE145" s="50"/>
      <c r="AF145" s="50"/>
      <c r="AG145" s="50"/>
    </row>
    <row r="146" spans="28:33" ht="12.5">
      <c r="AB146" s="50"/>
      <c r="AC146" s="50"/>
      <c r="AD146" s="50"/>
      <c r="AE146" s="50"/>
      <c r="AF146" s="50"/>
      <c r="AG146" s="50"/>
    </row>
    <row r="147" spans="28:33" ht="12.5">
      <c r="AB147" s="50"/>
      <c r="AC147" s="50"/>
      <c r="AD147" s="50"/>
      <c r="AE147" s="50"/>
      <c r="AF147" s="50"/>
      <c r="AG147" s="50"/>
    </row>
    <row r="148" spans="28:33" ht="12.5">
      <c r="AB148" s="50"/>
      <c r="AC148" s="50"/>
      <c r="AD148" s="50"/>
      <c r="AE148" s="50"/>
      <c r="AF148" s="50"/>
      <c r="AG148" s="50"/>
    </row>
    <row r="149" spans="28:33" ht="12.5">
      <c r="AB149" s="50"/>
      <c r="AC149" s="50"/>
      <c r="AD149" s="50"/>
      <c r="AE149" s="50"/>
      <c r="AF149" s="50"/>
      <c r="AG149" s="50"/>
    </row>
    <row r="150" spans="28:33" ht="12.5">
      <c r="AB150" s="50"/>
      <c r="AC150" s="50"/>
      <c r="AD150" s="50"/>
      <c r="AE150" s="50"/>
      <c r="AF150" s="50"/>
      <c r="AG150" s="50"/>
    </row>
    <row r="151" spans="28:33" ht="12.5">
      <c r="AB151" s="50"/>
      <c r="AC151" s="50"/>
      <c r="AD151" s="50"/>
      <c r="AE151" s="50"/>
      <c r="AF151" s="50"/>
      <c r="AG151" s="50"/>
    </row>
    <row r="152" spans="28:33" ht="12.5">
      <c r="AB152" s="50"/>
      <c r="AC152" s="50"/>
      <c r="AD152" s="50"/>
      <c r="AE152" s="50"/>
      <c r="AF152" s="50"/>
      <c r="AG152" s="50"/>
    </row>
    <row r="153" spans="28:33" ht="12.5">
      <c r="AB153" s="50"/>
      <c r="AC153" s="50"/>
      <c r="AD153" s="50"/>
      <c r="AE153" s="50"/>
      <c r="AF153" s="50"/>
      <c r="AG153" s="50"/>
    </row>
    <row r="154" spans="28:33" ht="12.5">
      <c r="AB154" s="50"/>
      <c r="AC154" s="50"/>
      <c r="AD154" s="50"/>
      <c r="AE154" s="50"/>
      <c r="AF154" s="50"/>
      <c r="AG154" s="50"/>
    </row>
    <row r="155" spans="28:33" ht="12.5">
      <c r="AB155" s="50"/>
      <c r="AC155" s="50"/>
      <c r="AD155" s="50"/>
      <c r="AE155" s="50"/>
      <c r="AF155" s="50"/>
      <c r="AG155" s="50"/>
    </row>
    <row r="156" spans="28:33" ht="12.5">
      <c r="AB156" s="50"/>
      <c r="AC156" s="50"/>
      <c r="AD156" s="50"/>
      <c r="AE156" s="50"/>
      <c r="AF156" s="50"/>
      <c r="AG156" s="50"/>
    </row>
    <row r="157" spans="28:33" ht="12.5">
      <c r="AB157" s="50"/>
      <c r="AC157" s="50"/>
      <c r="AD157" s="50"/>
      <c r="AE157" s="50"/>
      <c r="AF157" s="50"/>
      <c r="AG157" s="50"/>
    </row>
    <row r="158" spans="28:33" ht="12.5">
      <c r="AB158" s="50"/>
      <c r="AC158" s="50"/>
      <c r="AD158" s="50"/>
      <c r="AE158" s="50"/>
      <c r="AF158" s="50"/>
      <c r="AG158" s="50"/>
    </row>
    <row r="159" spans="28:33" ht="12.5">
      <c r="AB159" s="50"/>
      <c r="AC159" s="50"/>
      <c r="AD159" s="50"/>
      <c r="AE159" s="50"/>
      <c r="AF159" s="50"/>
      <c r="AG159" s="50"/>
    </row>
    <row r="160" spans="28:33" ht="12.5">
      <c r="AB160" s="50"/>
      <c r="AC160" s="50"/>
      <c r="AD160" s="50"/>
      <c r="AE160" s="50"/>
      <c r="AF160" s="50"/>
      <c r="AG160" s="50"/>
    </row>
    <row r="161" spans="28:33" ht="12.5">
      <c r="AB161" s="50"/>
      <c r="AC161" s="50"/>
      <c r="AD161" s="50"/>
      <c r="AE161" s="50"/>
      <c r="AF161" s="50"/>
      <c r="AG161" s="50"/>
    </row>
    <row r="162" spans="28:33" ht="12.5">
      <c r="AB162" s="50"/>
      <c r="AC162" s="50"/>
      <c r="AD162" s="50"/>
      <c r="AE162" s="50"/>
      <c r="AF162" s="50"/>
      <c r="AG162" s="50"/>
    </row>
    <row r="163" spans="28:33" ht="12.5">
      <c r="AB163" s="50"/>
      <c r="AC163" s="50"/>
      <c r="AD163" s="50"/>
      <c r="AE163" s="50"/>
      <c r="AF163" s="50"/>
      <c r="AG163" s="50"/>
    </row>
    <row r="164" spans="28:33" ht="12.5">
      <c r="AB164" s="50"/>
      <c r="AC164" s="50"/>
      <c r="AD164" s="50"/>
      <c r="AE164" s="50"/>
      <c r="AF164" s="50"/>
      <c r="AG164" s="50"/>
    </row>
    <row r="165" spans="28:33" ht="12.5">
      <c r="AB165" s="50"/>
      <c r="AC165" s="50"/>
      <c r="AD165" s="50"/>
      <c r="AE165" s="50"/>
      <c r="AF165" s="50"/>
      <c r="AG165" s="50"/>
    </row>
    <row r="166" spans="28:33" ht="12.5">
      <c r="AB166" s="50"/>
      <c r="AC166" s="50"/>
      <c r="AD166" s="50"/>
      <c r="AE166" s="50"/>
      <c r="AF166" s="50"/>
      <c r="AG166" s="50"/>
    </row>
    <row r="167" spans="28:33" ht="12.5">
      <c r="AB167" s="50"/>
      <c r="AC167" s="50"/>
      <c r="AD167" s="50"/>
      <c r="AE167" s="50"/>
      <c r="AF167" s="50"/>
      <c r="AG167" s="50"/>
    </row>
    <row r="168" spans="28:33" ht="12.5">
      <c r="AB168" s="50"/>
      <c r="AC168" s="50"/>
      <c r="AD168" s="50"/>
      <c r="AE168" s="50"/>
      <c r="AF168" s="50"/>
      <c r="AG168" s="50"/>
    </row>
    <row r="169" spans="28:33" ht="12.5">
      <c r="AB169" s="50"/>
      <c r="AC169" s="50"/>
      <c r="AD169" s="50"/>
      <c r="AE169" s="50"/>
      <c r="AF169" s="50"/>
      <c r="AG169" s="50"/>
    </row>
    <row r="170" spans="28:33" ht="12.5">
      <c r="AB170" s="50"/>
      <c r="AC170" s="50"/>
      <c r="AD170" s="50"/>
      <c r="AE170" s="50"/>
      <c r="AF170" s="50"/>
      <c r="AG170" s="50"/>
    </row>
    <row r="171" spans="28:33" ht="12.5">
      <c r="AB171" s="50"/>
      <c r="AC171" s="50"/>
      <c r="AD171" s="50"/>
      <c r="AE171" s="50"/>
      <c r="AF171" s="50"/>
      <c r="AG171" s="50"/>
    </row>
    <row r="172" spans="28:33" ht="12.5">
      <c r="AB172" s="50"/>
      <c r="AC172" s="50"/>
      <c r="AD172" s="50"/>
      <c r="AE172" s="50"/>
      <c r="AF172" s="50"/>
      <c r="AG172" s="50"/>
    </row>
    <row r="173" spans="28:33" ht="12.5">
      <c r="AB173" s="50"/>
      <c r="AC173" s="50"/>
      <c r="AD173" s="50"/>
      <c r="AE173" s="50"/>
      <c r="AF173" s="50"/>
      <c r="AG173" s="50"/>
    </row>
    <row r="174" spans="28:33" ht="12.5">
      <c r="AB174" s="50"/>
      <c r="AC174" s="50"/>
      <c r="AD174" s="50"/>
      <c r="AE174" s="50"/>
      <c r="AF174" s="50"/>
      <c r="AG174" s="50"/>
    </row>
    <row r="175" spans="28:33" ht="12.5">
      <c r="AB175" s="50"/>
      <c r="AC175" s="50"/>
      <c r="AD175" s="50"/>
      <c r="AE175" s="50"/>
      <c r="AF175" s="50"/>
      <c r="AG175" s="50"/>
    </row>
    <row r="176" spans="28:33" ht="12.5">
      <c r="AB176" s="50"/>
      <c r="AC176" s="50"/>
      <c r="AD176" s="50"/>
      <c r="AE176" s="50"/>
      <c r="AF176" s="50"/>
      <c r="AG176" s="50"/>
    </row>
    <row r="177" spans="28:33" ht="12.5">
      <c r="AB177" s="50"/>
      <c r="AC177" s="50"/>
      <c r="AD177" s="50"/>
      <c r="AE177" s="50"/>
      <c r="AF177" s="50"/>
      <c r="AG177" s="50"/>
    </row>
    <row r="178" spans="28:33" ht="12.5">
      <c r="AB178" s="50"/>
      <c r="AC178" s="50"/>
      <c r="AD178" s="50"/>
      <c r="AE178" s="50"/>
      <c r="AF178" s="50"/>
      <c r="AG178" s="50"/>
    </row>
    <row r="179" spans="28:33" ht="12.5">
      <c r="AB179" s="50"/>
      <c r="AC179" s="50"/>
      <c r="AD179" s="50"/>
      <c r="AE179" s="50"/>
      <c r="AF179" s="50"/>
      <c r="AG179" s="50"/>
    </row>
    <row r="180" spans="28:33" ht="12.5">
      <c r="AB180" s="50"/>
      <c r="AC180" s="50"/>
      <c r="AD180" s="50"/>
      <c r="AE180" s="50"/>
      <c r="AF180" s="50"/>
      <c r="AG180" s="50"/>
    </row>
    <row r="181" spans="28:33" ht="12.5">
      <c r="AB181" s="50"/>
      <c r="AC181" s="50"/>
      <c r="AD181" s="50"/>
      <c r="AE181" s="50"/>
      <c r="AF181" s="50"/>
      <c r="AG181" s="50"/>
    </row>
    <row r="182" spans="28:33" ht="12.5">
      <c r="AB182" s="50"/>
      <c r="AC182" s="50"/>
      <c r="AD182" s="50"/>
      <c r="AE182" s="50"/>
      <c r="AF182" s="50"/>
      <c r="AG182" s="50"/>
    </row>
    <row r="183" spans="28:33" ht="12.5">
      <c r="AB183" s="50"/>
      <c r="AC183" s="50"/>
      <c r="AD183" s="50"/>
      <c r="AE183" s="50"/>
      <c r="AF183" s="50"/>
      <c r="AG183" s="50"/>
    </row>
    <row r="184" spans="28:33" ht="12.5">
      <c r="AB184" s="50"/>
      <c r="AC184" s="50"/>
      <c r="AD184" s="50"/>
      <c r="AE184" s="50"/>
      <c r="AF184" s="50"/>
      <c r="AG184" s="50"/>
    </row>
    <row r="185" spans="28:33" ht="12.5">
      <c r="AB185" s="50"/>
      <c r="AC185" s="50"/>
      <c r="AD185" s="50"/>
      <c r="AE185" s="50"/>
      <c r="AF185" s="50"/>
      <c r="AG185" s="50"/>
    </row>
    <row r="186" spans="28:33" ht="12.5">
      <c r="AB186" s="50"/>
      <c r="AC186" s="50"/>
      <c r="AD186" s="50"/>
      <c r="AE186" s="50"/>
      <c r="AF186" s="50"/>
      <c r="AG186" s="50"/>
    </row>
    <row r="187" spans="28:33" ht="12.5">
      <c r="AB187" s="50"/>
      <c r="AC187" s="50"/>
      <c r="AD187" s="50"/>
      <c r="AE187" s="50"/>
      <c r="AF187" s="50"/>
      <c r="AG187" s="50"/>
    </row>
    <row r="188" spans="28:33" ht="12.5">
      <c r="AB188" s="50"/>
      <c r="AC188" s="50"/>
      <c r="AD188" s="50"/>
      <c r="AE188" s="50"/>
      <c r="AF188" s="50"/>
      <c r="AG188" s="50"/>
    </row>
    <row r="189" spans="28:33" ht="12.5">
      <c r="AB189" s="50"/>
      <c r="AC189" s="50"/>
      <c r="AD189" s="50"/>
      <c r="AE189" s="50"/>
      <c r="AF189" s="50"/>
      <c r="AG189" s="50"/>
    </row>
    <row r="190" spans="28:33" ht="12.5">
      <c r="AB190" s="50"/>
      <c r="AC190" s="50"/>
      <c r="AD190" s="50"/>
      <c r="AE190" s="50"/>
      <c r="AF190" s="50"/>
      <c r="AG190" s="50"/>
    </row>
    <row r="191" spans="28:33" ht="12.5">
      <c r="AB191" s="50"/>
      <c r="AC191" s="50"/>
      <c r="AD191" s="50"/>
      <c r="AE191" s="50"/>
      <c r="AF191" s="50"/>
      <c r="AG191" s="50"/>
    </row>
    <row r="192" spans="28:33" ht="12.5">
      <c r="AB192" s="50"/>
      <c r="AC192" s="50"/>
      <c r="AD192" s="50"/>
      <c r="AE192" s="50"/>
      <c r="AF192" s="50"/>
      <c r="AG192" s="50"/>
    </row>
    <row r="193" spans="28:33" ht="12.5">
      <c r="AB193" s="50"/>
      <c r="AC193" s="50"/>
      <c r="AD193" s="50"/>
      <c r="AE193" s="50"/>
      <c r="AF193" s="50"/>
      <c r="AG193" s="50"/>
    </row>
    <row r="194" spans="28:33" ht="12.5">
      <c r="AB194" s="50"/>
      <c r="AC194" s="50"/>
      <c r="AD194" s="50"/>
      <c r="AE194" s="50"/>
      <c r="AF194" s="50"/>
      <c r="AG194" s="50"/>
    </row>
    <row r="195" spans="28:33" ht="12.5">
      <c r="AB195" s="50"/>
      <c r="AC195" s="50"/>
      <c r="AD195" s="50"/>
      <c r="AE195" s="50"/>
      <c r="AF195" s="50"/>
      <c r="AG195" s="50"/>
    </row>
    <row r="196" spans="28:33" ht="12.5">
      <c r="AB196" s="50"/>
      <c r="AC196" s="50"/>
      <c r="AD196" s="50"/>
      <c r="AE196" s="50"/>
      <c r="AF196" s="50"/>
      <c r="AG196" s="50"/>
    </row>
    <row r="197" spans="28:33" ht="12.5">
      <c r="AB197" s="50"/>
      <c r="AC197" s="50"/>
      <c r="AD197" s="50"/>
      <c r="AE197" s="50"/>
      <c r="AF197" s="50"/>
      <c r="AG197" s="50"/>
    </row>
    <row r="198" spans="28:33" ht="12.5">
      <c r="AB198" s="50"/>
      <c r="AC198" s="50"/>
      <c r="AD198" s="50"/>
      <c r="AE198" s="50"/>
      <c r="AF198" s="50"/>
      <c r="AG198" s="50"/>
    </row>
    <row r="199" spans="28:33" ht="12.5">
      <c r="AB199" s="50"/>
      <c r="AC199" s="50"/>
      <c r="AD199" s="50"/>
      <c r="AE199" s="50"/>
      <c r="AF199" s="50"/>
      <c r="AG199" s="50"/>
    </row>
    <row r="200" spans="28:33" ht="12.5">
      <c r="AB200" s="50"/>
      <c r="AC200" s="50"/>
      <c r="AD200" s="50"/>
      <c r="AE200" s="50"/>
      <c r="AF200" s="50"/>
      <c r="AG200" s="50"/>
    </row>
    <row r="201" spans="28:33" ht="12.5">
      <c r="AB201" s="50"/>
      <c r="AC201" s="50"/>
      <c r="AD201" s="50"/>
      <c r="AE201" s="50"/>
      <c r="AF201" s="50"/>
      <c r="AG201" s="50"/>
    </row>
    <row r="202" spans="28:33" ht="12.5">
      <c r="AB202" s="50"/>
      <c r="AC202" s="50"/>
      <c r="AD202" s="50"/>
      <c r="AE202" s="50"/>
      <c r="AF202" s="50"/>
      <c r="AG202" s="50"/>
    </row>
    <row r="203" spans="28:33" ht="12.5">
      <c r="AB203" s="50"/>
      <c r="AC203" s="50"/>
      <c r="AD203" s="50"/>
      <c r="AE203" s="50"/>
      <c r="AF203" s="50"/>
      <c r="AG203" s="50"/>
    </row>
    <row r="204" spans="28:33" ht="12.5">
      <c r="AB204" s="50"/>
      <c r="AC204" s="50"/>
      <c r="AD204" s="50"/>
      <c r="AE204" s="50"/>
      <c r="AF204" s="50"/>
      <c r="AG204" s="50"/>
    </row>
    <row r="205" spans="28:33" ht="12.5">
      <c r="AB205" s="50"/>
      <c r="AC205" s="50"/>
      <c r="AD205" s="50"/>
      <c r="AE205" s="50"/>
      <c r="AF205" s="50"/>
      <c r="AG205" s="50"/>
    </row>
    <row r="206" spans="28:33" ht="12.5">
      <c r="AB206" s="50"/>
      <c r="AC206" s="50"/>
      <c r="AD206" s="50"/>
      <c r="AE206" s="50"/>
      <c r="AF206" s="50"/>
      <c r="AG206" s="50"/>
    </row>
    <row r="207" spans="28:33" ht="12.5">
      <c r="AB207" s="50"/>
      <c r="AC207" s="50"/>
      <c r="AD207" s="50"/>
      <c r="AE207" s="50"/>
      <c r="AF207" s="50"/>
      <c r="AG207" s="50"/>
    </row>
    <row r="208" spans="28:33" ht="12.5">
      <c r="AB208" s="50"/>
      <c r="AC208" s="50"/>
      <c r="AD208" s="50"/>
      <c r="AE208" s="50"/>
      <c r="AF208" s="50"/>
      <c r="AG208" s="50"/>
    </row>
    <row r="209" spans="28:33" ht="12.5">
      <c r="AB209" s="50"/>
      <c r="AC209" s="50"/>
      <c r="AD209" s="50"/>
      <c r="AE209" s="50"/>
      <c r="AF209" s="50"/>
      <c r="AG209" s="50"/>
    </row>
    <row r="210" spans="28:33" ht="12.5">
      <c r="AB210" s="50"/>
      <c r="AC210" s="50"/>
      <c r="AD210" s="50"/>
      <c r="AE210" s="50"/>
      <c r="AF210" s="50"/>
      <c r="AG210" s="50"/>
    </row>
    <row r="211" spans="28:33" ht="12.5">
      <c r="AB211" s="50"/>
      <c r="AC211" s="50"/>
      <c r="AD211" s="50"/>
      <c r="AE211" s="50"/>
      <c r="AF211" s="50"/>
      <c r="AG211" s="50"/>
    </row>
    <row r="212" spans="28:33" ht="12.5">
      <c r="AB212" s="50"/>
      <c r="AC212" s="50"/>
      <c r="AD212" s="50"/>
      <c r="AE212" s="50"/>
      <c r="AF212" s="50"/>
      <c r="AG212" s="50"/>
    </row>
    <row r="213" spans="28:33" ht="12.5">
      <c r="AB213" s="50"/>
      <c r="AC213" s="50"/>
      <c r="AD213" s="50"/>
      <c r="AE213" s="50"/>
      <c r="AF213" s="50"/>
      <c r="AG213" s="50"/>
    </row>
    <row r="214" spans="28:33" ht="12.5">
      <c r="AB214" s="50"/>
      <c r="AC214" s="50"/>
      <c r="AD214" s="50"/>
      <c r="AE214" s="50"/>
      <c r="AF214" s="50"/>
      <c r="AG214" s="50"/>
    </row>
    <row r="215" spans="28:33" ht="12.5">
      <c r="AB215" s="50"/>
      <c r="AC215" s="50"/>
      <c r="AD215" s="50"/>
      <c r="AE215" s="50"/>
      <c r="AF215" s="50"/>
      <c r="AG215" s="50"/>
    </row>
    <row r="216" spans="28:33" ht="12.5">
      <c r="AB216" s="50"/>
      <c r="AC216" s="50"/>
      <c r="AD216" s="50"/>
      <c r="AE216" s="50"/>
      <c r="AF216" s="50"/>
      <c r="AG216" s="50"/>
    </row>
    <row r="217" spans="28:33" ht="12.5">
      <c r="AB217" s="50"/>
      <c r="AC217" s="50"/>
      <c r="AD217" s="50"/>
      <c r="AE217" s="50"/>
      <c r="AF217" s="50"/>
      <c r="AG217" s="50"/>
    </row>
    <row r="218" spans="28:33" ht="12.5">
      <c r="AB218" s="50"/>
      <c r="AC218" s="50"/>
      <c r="AD218" s="50"/>
      <c r="AE218" s="50"/>
      <c r="AF218" s="50"/>
      <c r="AG218" s="50"/>
    </row>
    <row r="219" spans="28:33" ht="12.5">
      <c r="AB219" s="50"/>
      <c r="AC219" s="50"/>
      <c r="AD219" s="50"/>
      <c r="AE219" s="50"/>
      <c r="AF219" s="50"/>
      <c r="AG219" s="50"/>
    </row>
    <row r="220" spans="28:33" ht="12.5">
      <c r="AB220" s="50"/>
      <c r="AC220" s="50"/>
      <c r="AD220" s="50"/>
      <c r="AE220" s="50"/>
      <c r="AF220" s="50"/>
      <c r="AG220" s="50"/>
    </row>
    <row r="221" spans="28:33" ht="12.5">
      <c r="AB221" s="50"/>
      <c r="AC221" s="50"/>
      <c r="AD221" s="50"/>
      <c r="AE221" s="50"/>
      <c r="AF221" s="50"/>
      <c r="AG221" s="50"/>
    </row>
    <row r="222" spans="28:33" ht="12.5">
      <c r="AB222" s="50"/>
      <c r="AC222" s="50"/>
      <c r="AD222" s="50"/>
      <c r="AE222" s="50"/>
      <c r="AF222" s="50"/>
      <c r="AG222" s="50"/>
    </row>
    <row r="223" spans="28:33" ht="12.5">
      <c r="AB223" s="50"/>
      <c r="AC223" s="50"/>
      <c r="AD223" s="50"/>
      <c r="AE223" s="50"/>
      <c r="AF223" s="50"/>
      <c r="AG223" s="50"/>
    </row>
    <row r="224" spans="28:33" ht="12.5">
      <c r="AB224" s="50"/>
      <c r="AC224" s="50"/>
      <c r="AD224" s="50"/>
      <c r="AE224" s="50"/>
      <c r="AF224" s="50"/>
      <c r="AG224" s="50"/>
    </row>
    <row r="225" spans="28:33" ht="12.5">
      <c r="AB225" s="50"/>
      <c r="AC225" s="50"/>
      <c r="AD225" s="50"/>
      <c r="AE225" s="50"/>
      <c r="AF225" s="50"/>
      <c r="AG225" s="50"/>
    </row>
    <row r="226" spans="28:33" ht="12.5">
      <c r="AB226" s="50"/>
      <c r="AC226" s="50"/>
      <c r="AD226" s="50"/>
      <c r="AE226" s="50"/>
      <c r="AF226" s="50"/>
      <c r="AG226" s="50"/>
    </row>
    <row r="227" spans="28:33" ht="12.5">
      <c r="AB227" s="50"/>
      <c r="AC227" s="50"/>
      <c r="AD227" s="50"/>
      <c r="AE227" s="50"/>
      <c r="AF227" s="50"/>
      <c r="AG227" s="50"/>
    </row>
    <row r="228" spans="28:33" ht="12.5">
      <c r="AB228" s="50"/>
      <c r="AC228" s="50"/>
      <c r="AD228" s="50"/>
      <c r="AE228" s="50"/>
      <c r="AF228" s="50"/>
      <c r="AG228" s="50"/>
    </row>
    <row r="229" spans="28:33" ht="12.5">
      <c r="AB229" s="50"/>
      <c r="AC229" s="50"/>
      <c r="AD229" s="50"/>
      <c r="AE229" s="50"/>
      <c r="AF229" s="50"/>
      <c r="AG229" s="50"/>
    </row>
    <row r="230" spans="28:33" ht="12.5">
      <c r="AB230" s="50"/>
      <c r="AC230" s="50"/>
      <c r="AD230" s="50"/>
      <c r="AE230" s="50"/>
      <c r="AF230" s="50"/>
      <c r="AG230" s="50"/>
    </row>
    <row r="231" spans="28:33" ht="12.5">
      <c r="AB231" s="50"/>
      <c r="AC231" s="50"/>
      <c r="AD231" s="50"/>
      <c r="AE231" s="50"/>
      <c r="AF231" s="50"/>
      <c r="AG231" s="50"/>
    </row>
    <row r="232" spans="28:33" ht="12.5">
      <c r="AB232" s="50"/>
      <c r="AC232" s="50"/>
      <c r="AD232" s="50"/>
      <c r="AE232" s="50"/>
      <c r="AF232" s="50"/>
      <c r="AG232" s="50"/>
    </row>
    <row r="233" spans="28:33" ht="12.5">
      <c r="AB233" s="50"/>
      <c r="AC233" s="50"/>
      <c r="AD233" s="50"/>
      <c r="AE233" s="50"/>
      <c r="AF233" s="50"/>
      <c r="AG233" s="50"/>
    </row>
    <row r="234" spans="28:33" ht="12.5">
      <c r="AB234" s="50"/>
      <c r="AC234" s="50"/>
      <c r="AD234" s="50"/>
      <c r="AE234" s="50"/>
      <c r="AF234" s="50"/>
      <c r="AG234" s="50"/>
    </row>
    <row r="235" spans="28:33" ht="12.5">
      <c r="AB235" s="50"/>
      <c r="AC235" s="50"/>
      <c r="AD235" s="50"/>
      <c r="AE235" s="50"/>
      <c r="AF235" s="50"/>
      <c r="AG235" s="50"/>
    </row>
    <row r="236" spans="28:33" ht="12.5">
      <c r="AB236" s="50"/>
      <c r="AC236" s="50"/>
      <c r="AD236" s="50"/>
      <c r="AE236" s="50"/>
      <c r="AF236" s="50"/>
      <c r="AG236" s="50"/>
    </row>
    <row r="237" spans="28:33" ht="12.5">
      <c r="AB237" s="50"/>
      <c r="AC237" s="50"/>
      <c r="AD237" s="50"/>
      <c r="AE237" s="50"/>
      <c r="AF237" s="50"/>
      <c r="AG237" s="50"/>
    </row>
    <row r="238" spans="28:33" ht="12.5">
      <c r="AB238" s="50"/>
      <c r="AC238" s="50"/>
      <c r="AD238" s="50"/>
      <c r="AE238" s="50"/>
      <c r="AF238" s="50"/>
      <c r="AG238" s="50"/>
    </row>
    <row r="239" spans="28:33" ht="12.5">
      <c r="AB239" s="50"/>
      <c r="AC239" s="50"/>
      <c r="AD239" s="50"/>
      <c r="AE239" s="50"/>
      <c r="AF239" s="50"/>
      <c r="AG239" s="50"/>
    </row>
    <row r="240" spans="28:33" ht="12.5">
      <c r="AB240" s="50"/>
      <c r="AC240" s="50"/>
      <c r="AD240" s="50"/>
      <c r="AE240" s="50"/>
      <c r="AF240" s="50"/>
      <c r="AG240" s="50"/>
    </row>
    <row r="241" spans="28:33" ht="12.5">
      <c r="AB241" s="50"/>
      <c r="AC241" s="50"/>
      <c r="AD241" s="50"/>
      <c r="AE241" s="50"/>
      <c r="AF241" s="50"/>
      <c r="AG241" s="50"/>
    </row>
    <row r="242" spans="28:33" ht="12.5">
      <c r="AB242" s="50"/>
      <c r="AC242" s="50"/>
      <c r="AD242" s="50"/>
      <c r="AE242" s="50"/>
      <c r="AF242" s="50"/>
      <c r="AG242" s="50"/>
    </row>
    <row r="243" spans="28:33" ht="12.5">
      <c r="AB243" s="50"/>
      <c r="AC243" s="50"/>
      <c r="AD243" s="50"/>
      <c r="AE243" s="50"/>
      <c r="AF243" s="50"/>
      <c r="AG243" s="50"/>
    </row>
    <row r="244" spans="28:33" ht="12.5">
      <c r="AB244" s="50"/>
      <c r="AC244" s="50"/>
      <c r="AD244" s="50"/>
      <c r="AE244" s="50"/>
      <c r="AF244" s="50"/>
      <c r="AG244" s="50"/>
    </row>
    <row r="245" spans="28:33" ht="12.5">
      <c r="AB245" s="50"/>
      <c r="AC245" s="50"/>
      <c r="AD245" s="50"/>
      <c r="AE245" s="50"/>
      <c r="AF245" s="50"/>
      <c r="AG245" s="50"/>
    </row>
    <row r="246" spans="28:33" ht="12.5">
      <c r="AB246" s="50"/>
      <c r="AC246" s="50"/>
      <c r="AD246" s="50"/>
      <c r="AE246" s="50"/>
      <c r="AF246" s="50"/>
      <c r="AG246" s="50"/>
    </row>
    <row r="247" spans="28:33" ht="12.5">
      <c r="AB247" s="50"/>
      <c r="AC247" s="50"/>
      <c r="AD247" s="50"/>
      <c r="AE247" s="50"/>
      <c r="AF247" s="50"/>
      <c r="AG247" s="50"/>
    </row>
    <row r="248" spans="28:33" ht="12.5">
      <c r="AB248" s="50"/>
      <c r="AC248" s="50"/>
      <c r="AD248" s="50"/>
      <c r="AE248" s="50"/>
      <c r="AF248" s="50"/>
      <c r="AG248" s="50"/>
    </row>
    <row r="249" spans="28:33" ht="12.5">
      <c r="AB249" s="50"/>
      <c r="AC249" s="50"/>
      <c r="AD249" s="50"/>
      <c r="AE249" s="50"/>
      <c r="AF249" s="50"/>
      <c r="AG249" s="50"/>
    </row>
    <row r="250" spans="28:33" ht="12.5">
      <c r="AB250" s="50"/>
      <c r="AC250" s="50"/>
      <c r="AD250" s="50"/>
      <c r="AE250" s="50"/>
      <c r="AF250" s="50"/>
      <c r="AG250" s="50"/>
    </row>
    <row r="251" spans="28:33" ht="12.5">
      <c r="AB251" s="50"/>
      <c r="AC251" s="50"/>
      <c r="AD251" s="50"/>
      <c r="AE251" s="50"/>
      <c r="AF251" s="50"/>
      <c r="AG251" s="50"/>
    </row>
    <row r="252" spans="28:33" ht="12.5">
      <c r="AB252" s="50"/>
      <c r="AC252" s="50"/>
      <c r="AD252" s="50"/>
      <c r="AE252" s="50"/>
      <c r="AF252" s="50"/>
      <c r="AG252" s="50"/>
    </row>
    <row r="253" spans="28:33" ht="12.5">
      <c r="AB253" s="50"/>
      <c r="AC253" s="50"/>
      <c r="AD253" s="50"/>
      <c r="AE253" s="50"/>
      <c r="AF253" s="50"/>
      <c r="AG253" s="50"/>
    </row>
    <row r="254" spans="28:33" ht="12.5">
      <c r="AB254" s="50"/>
      <c r="AC254" s="50"/>
      <c r="AD254" s="50"/>
      <c r="AE254" s="50"/>
      <c r="AF254" s="50"/>
      <c r="AG254" s="50"/>
    </row>
    <row r="255" spans="28:33" ht="12.5">
      <c r="AB255" s="50"/>
      <c r="AC255" s="50"/>
      <c r="AD255" s="50"/>
      <c r="AE255" s="50"/>
      <c r="AF255" s="50"/>
      <c r="AG255" s="50"/>
    </row>
    <row r="256" spans="28:33" ht="12.5">
      <c r="AB256" s="50"/>
      <c r="AC256" s="50"/>
      <c r="AD256" s="50"/>
      <c r="AE256" s="50"/>
      <c r="AF256" s="50"/>
      <c r="AG256" s="50"/>
    </row>
    <row r="257" spans="28:33" ht="12.5">
      <c r="AB257" s="50"/>
      <c r="AC257" s="50"/>
      <c r="AD257" s="50"/>
      <c r="AE257" s="50"/>
      <c r="AF257" s="50"/>
      <c r="AG257" s="50"/>
    </row>
    <row r="258" spans="28:33" ht="12.5">
      <c r="AB258" s="50"/>
      <c r="AC258" s="50"/>
      <c r="AD258" s="50"/>
      <c r="AE258" s="50"/>
      <c r="AF258" s="50"/>
      <c r="AG258" s="50"/>
    </row>
    <row r="259" spans="28:33" ht="12.5">
      <c r="AB259" s="50"/>
      <c r="AC259" s="50"/>
      <c r="AD259" s="50"/>
      <c r="AE259" s="50"/>
      <c r="AF259" s="50"/>
      <c r="AG259" s="50"/>
    </row>
    <row r="260" spans="28:33" ht="12.5">
      <c r="AB260" s="50"/>
      <c r="AC260" s="50"/>
      <c r="AD260" s="50"/>
      <c r="AE260" s="50"/>
      <c r="AF260" s="50"/>
      <c r="AG260" s="50"/>
    </row>
    <row r="261" spans="28:33" ht="12.5">
      <c r="AB261" s="50"/>
      <c r="AC261" s="50"/>
      <c r="AD261" s="50"/>
      <c r="AE261" s="50"/>
      <c r="AF261" s="50"/>
      <c r="AG261" s="50"/>
    </row>
    <row r="262" spans="28:33" ht="12.5">
      <c r="AB262" s="50"/>
      <c r="AC262" s="50"/>
      <c r="AD262" s="50"/>
      <c r="AE262" s="50"/>
      <c r="AF262" s="50"/>
      <c r="AG262" s="50"/>
    </row>
    <row r="263" spans="28:33" ht="12.5">
      <c r="AB263" s="50"/>
      <c r="AC263" s="50"/>
      <c r="AD263" s="50"/>
      <c r="AE263" s="50"/>
      <c r="AF263" s="50"/>
      <c r="AG263" s="50"/>
    </row>
    <row r="264" spans="28:33" ht="12.5">
      <c r="AB264" s="50"/>
      <c r="AC264" s="50"/>
      <c r="AD264" s="50"/>
      <c r="AE264" s="50"/>
      <c r="AF264" s="50"/>
      <c r="AG264" s="50"/>
    </row>
    <row r="265" spans="28:33" ht="12.5">
      <c r="AB265" s="50"/>
      <c r="AC265" s="50"/>
      <c r="AD265" s="50"/>
      <c r="AE265" s="50"/>
      <c r="AF265" s="50"/>
      <c r="AG265" s="50"/>
    </row>
    <row r="266" spans="28:33" ht="12.5">
      <c r="AB266" s="50"/>
      <c r="AC266" s="50"/>
      <c r="AD266" s="50"/>
      <c r="AE266" s="50"/>
      <c r="AF266" s="50"/>
      <c r="AG266" s="50"/>
    </row>
    <row r="267" spans="28:33" ht="12.5">
      <c r="AB267" s="50"/>
      <c r="AC267" s="50"/>
      <c r="AD267" s="50"/>
      <c r="AE267" s="50"/>
      <c r="AF267" s="50"/>
      <c r="AG267" s="50"/>
    </row>
    <row r="268" spans="28:33" ht="12.5">
      <c r="AB268" s="50"/>
      <c r="AC268" s="50"/>
      <c r="AD268" s="50"/>
      <c r="AE268" s="50"/>
      <c r="AF268" s="50"/>
      <c r="AG268" s="50"/>
    </row>
    <row r="269" spans="28:33" ht="12.5">
      <c r="AB269" s="50"/>
      <c r="AC269" s="50"/>
      <c r="AD269" s="50"/>
      <c r="AE269" s="50"/>
      <c r="AF269" s="50"/>
      <c r="AG269" s="50"/>
    </row>
    <row r="270" spans="28:33" ht="12.5">
      <c r="AB270" s="50"/>
      <c r="AC270" s="50"/>
      <c r="AD270" s="50"/>
      <c r="AE270" s="50"/>
      <c r="AF270" s="50"/>
      <c r="AG270" s="50"/>
    </row>
    <row r="271" spans="28:33" ht="12.5">
      <c r="AB271" s="50"/>
      <c r="AC271" s="50"/>
      <c r="AD271" s="50"/>
      <c r="AE271" s="50"/>
      <c r="AF271" s="50"/>
      <c r="AG271" s="50"/>
    </row>
    <row r="272" spans="28:33" ht="12.5">
      <c r="AB272" s="50"/>
      <c r="AC272" s="50"/>
      <c r="AD272" s="50"/>
      <c r="AE272" s="50"/>
      <c r="AF272" s="50"/>
      <c r="AG272" s="50"/>
    </row>
    <row r="273" spans="28:33" ht="12.5">
      <c r="AB273" s="50"/>
      <c r="AC273" s="50"/>
      <c r="AD273" s="50"/>
      <c r="AE273" s="50"/>
      <c r="AF273" s="50"/>
      <c r="AG273" s="50"/>
    </row>
    <row r="274" spans="28:33" ht="12.5">
      <c r="AB274" s="50"/>
      <c r="AC274" s="50"/>
      <c r="AD274" s="50"/>
      <c r="AE274" s="50"/>
      <c r="AF274" s="50"/>
      <c r="AG274" s="50"/>
    </row>
    <row r="275" spans="28:33" ht="12.5">
      <c r="AB275" s="50"/>
      <c r="AC275" s="50"/>
      <c r="AD275" s="50"/>
      <c r="AE275" s="50"/>
      <c r="AF275" s="50"/>
      <c r="AG275" s="50"/>
    </row>
    <row r="276" spans="28:33" ht="12.5">
      <c r="AB276" s="50"/>
      <c r="AC276" s="50"/>
      <c r="AD276" s="50"/>
      <c r="AE276" s="50"/>
      <c r="AF276" s="50"/>
      <c r="AG276" s="50"/>
    </row>
    <row r="277" spans="28:33" ht="12.5">
      <c r="AB277" s="50"/>
      <c r="AC277" s="50"/>
      <c r="AD277" s="50"/>
      <c r="AE277" s="50"/>
      <c r="AF277" s="50"/>
      <c r="AG277" s="50"/>
    </row>
    <row r="278" spans="28:33" ht="12.5">
      <c r="AB278" s="50"/>
      <c r="AC278" s="50"/>
      <c r="AD278" s="50"/>
      <c r="AE278" s="50"/>
      <c r="AF278" s="50"/>
      <c r="AG278" s="50"/>
    </row>
    <row r="279" spans="28:33" ht="12.5">
      <c r="AB279" s="50"/>
      <c r="AC279" s="50"/>
      <c r="AD279" s="50"/>
      <c r="AE279" s="50"/>
      <c r="AF279" s="50"/>
      <c r="AG279" s="50"/>
    </row>
    <row r="280" spans="28:33" ht="12.5">
      <c r="AB280" s="50"/>
      <c r="AC280" s="50"/>
      <c r="AD280" s="50"/>
      <c r="AE280" s="50"/>
      <c r="AF280" s="50"/>
      <c r="AG280" s="50"/>
    </row>
    <row r="281" spans="28:33" ht="12.5">
      <c r="AB281" s="50"/>
      <c r="AC281" s="50"/>
      <c r="AD281" s="50"/>
      <c r="AE281" s="50"/>
      <c r="AF281" s="50"/>
      <c r="AG281" s="50"/>
    </row>
    <row r="282" spans="28:33" ht="12.5">
      <c r="AB282" s="50"/>
      <c r="AC282" s="50"/>
      <c r="AD282" s="50"/>
      <c r="AE282" s="50"/>
      <c r="AF282" s="50"/>
      <c r="AG282" s="50"/>
    </row>
    <row r="283" spans="28:33" ht="12.5">
      <c r="AB283" s="50"/>
      <c r="AC283" s="50"/>
      <c r="AD283" s="50"/>
      <c r="AE283" s="50"/>
      <c r="AF283" s="50"/>
      <c r="AG283" s="50"/>
    </row>
    <row r="284" spans="28:33" ht="12.5">
      <c r="AB284" s="50"/>
      <c r="AC284" s="50"/>
      <c r="AD284" s="50"/>
      <c r="AE284" s="50"/>
      <c r="AF284" s="50"/>
      <c r="AG284" s="50"/>
    </row>
    <row r="285" spans="28:33" ht="12.5">
      <c r="AB285" s="50"/>
      <c r="AC285" s="50"/>
      <c r="AD285" s="50"/>
      <c r="AE285" s="50"/>
      <c r="AF285" s="50"/>
      <c r="AG285" s="50"/>
    </row>
    <row r="286" spans="28:33" ht="12.5">
      <c r="AB286" s="50"/>
      <c r="AC286" s="50"/>
      <c r="AD286" s="50"/>
      <c r="AE286" s="50"/>
      <c r="AF286" s="50"/>
      <c r="AG286" s="50"/>
    </row>
    <row r="287" spans="28:33" ht="12.5">
      <c r="AB287" s="50"/>
      <c r="AC287" s="50"/>
      <c r="AD287" s="50"/>
      <c r="AE287" s="50"/>
      <c r="AF287" s="50"/>
      <c r="AG287" s="50"/>
    </row>
    <row r="288" spans="28:33" ht="12.5">
      <c r="AB288" s="50"/>
      <c r="AC288" s="50"/>
      <c r="AD288" s="50"/>
      <c r="AE288" s="50"/>
      <c r="AF288" s="50"/>
      <c r="AG288" s="50"/>
    </row>
    <row r="289" spans="28:33" ht="12.5">
      <c r="AB289" s="50"/>
      <c r="AC289" s="50"/>
      <c r="AD289" s="50"/>
      <c r="AE289" s="50"/>
      <c r="AF289" s="50"/>
      <c r="AG289" s="50"/>
    </row>
    <row r="290" spans="28:33" ht="12.5">
      <c r="AB290" s="50"/>
      <c r="AC290" s="50"/>
      <c r="AD290" s="50"/>
      <c r="AE290" s="50"/>
      <c r="AF290" s="50"/>
      <c r="AG290" s="50"/>
    </row>
    <row r="291" spans="28:33" ht="12.5">
      <c r="AB291" s="50"/>
      <c r="AC291" s="50"/>
      <c r="AD291" s="50"/>
      <c r="AE291" s="50"/>
      <c r="AF291" s="50"/>
      <c r="AG291" s="50"/>
    </row>
    <row r="292" spans="28:33" ht="12.5">
      <c r="AB292" s="50"/>
      <c r="AC292" s="50"/>
      <c r="AD292" s="50"/>
      <c r="AE292" s="50"/>
      <c r="AF292" s="50"/>
      <c r="AG292" s="50"/>
    </row>
    <row r="293" spans="28:33" ht="12.5">
      <c r="AB293" s="50"/>
      <c r="AC293" s="50"/>
      <c r="AD293" s="50"/>
      <c r="AE293" s="50"/>
      <c r="AF293" s="50"/>
      <c r="AG293" s="50"/>
    </row>
    <row r="294" spans="28:33" ht="12.5">
      <c r="AB294" s="50"/>
      <c r="AC294" s="50"/>
      <c r="AD294" s="50"/>
      <c r="AE294" s="50"/>
      <c r="AF294" s="50"/>
      <c r="AG294" s="50"/>
    </row>
    <row r="295" spans="28:33" ht="12.5">
      <c r="AB295" s="50"/>
      <c r="AC295" s="50"/>
      <c r="AD295" s="50"/>
      <c r="AE295" s="50"/>
      <c r="AF295" s="50"/>
      <c r="AG295" s="50"/>
    </row>
    <row r="296" spans="28:33" ht="12.5">
      <c r="AB296" s="50"/>
      <c r="AC296" s="50"/>
      <c r="AD296" s="50"/>
      <c r="AE296" s="50"/>
      <c r="AF296" s="50"/>
      <c r="AG296" s="50"/>
    </row>
    <row r="297" spans="28:33" ht="12.5">
      <c r="AB297" s="50"/>
      <c r="AC297" s="50"/>
      <c r="AD297" s="50"/>
      <c r="AE297" s="50"/>
      <c r="AF297" s="50"/>
      <c r="AG297" s="50"/>
    </row>
    <row r="298" spans="28:33" ht="12.5">
      <c r="AB298" s="50"/>
      <c r="AC298" s="50"/>
      <c r="AD298" s="50"/>
      <c r="AE298" s="50"/>
      <c r="AF298" s="50"/>
      <c r="AG298" s="50"/>
    </row>
    <row r="299" spans="28:33" ht="12.5">
      <c r="AB299" s="50"/>
      <c r="AC299" s="50"/>
      <c r="AD299" s="50"/>
      <c r="AE299" s="50"/>
      <c r="AF299" s="50"/>
      <c r="AG299" s="50"/>
    </row>
    <row r="300" spans="28:33" ht="12.5">
      <c r="AB300" s="50"/>
      <c r="AC300" s="50"/>
      <c r="AD300" s="50"/>
      <c r="AE300" s="50"/>
      <c r="AF300" s="50"/>
      <c r="AG300" s="50"/>
    </row>
    <row r="301" spans="28:33" ht="12.5">
      <c r="AB301" s="50"/>
      <c r="AC301" s="50"/>
      <c r="AD301" s="50"/>
      <c r="AE301" s="50"/>
      <c r="AF301" s="50"/>
      <c r="AG301" s="50"/>
    </row>
    <row r="302" spans="28:33" ht="12.5">
      <c r="AB302" s="50"/>
      <c r="AC302" s="50"/>
      <c r="AD302" s="50"/>
      <c r="AE302" s="50"/>
      <c r="AF302" s="50"/>
      <c r="AG302" s="50"/>
    </row>
    <row r="303" spans="28:33" ht="12.5">
      <c r="AB303" s="50"/>
      <c r="AC303" s="50"/>
      <c r="AD303" s="50"/>
      <c r="AE303" s="50"/>
      <c r="AF303" s="50"/>
      <c r="AG303" s="50"/>
    </row>
    <row r="304" spans="28:33" ht="12.5">
      <c r="AB304" s="50"/>
      <c r="AC304" s="50"/>
      <c r="AD304" s="50"/>
      <c r="AE304" s="50"/>
      <c r="AF304" s="50"/>
      <c r="AG304" s="50"/>
    </row>
    <row r="305" spans="28:33" ht="12.5">
      <c r="AB305" s="50"/>
      <c r="AC305" s="50"/>
      <c r="AD305" s="50"/>
      <c r="AE305" s="50"/>
      <c r="AF305" s="50"/>
      <c r="AG305" s="50"/>
    </row>
    <row r="306" spans="28:33" ht="12.5">
      <c r="AB306" s="50"/>
      <c r="AC306" s="50"/>
      <c r="AD306" s="50"/>
      <c r="AE306" s="50"/>
      <c r="AF306" s="50"/>
      <c r="AG306" s="50"/>
    </row>
    <row r="307" spans="28:33" ht="12.5">
      <c r="AB307" s="50"/>
      <c r="AC307" s="50"/>
      <c r="AD307" s="50"/>
      <c r="AE307" s="50"/>
      <c r="AF307" s="50"/>
      <c r="AG307" s="50"/>
    </row>
    <row r="308" spans="28:33" ht="12.5">
      <c r="AB308" s="50"/>
      <c r="AC308" s="50"/>
      <c r="AD308" s="50"/>
      <c r="AE308" s="50"/>
      <c r="AF308" s="50"/>
      <c r="AG308" s="50"/>
    </row>
    <row r="309" spans="28:33" ht="12.5">
      <c r="AB309" s="50"/>
      <c r="AC309" s="50"/>
      <c r="AD309" s="50"/>
      <c r="AE309" s="50"/>
      <c r="AF309" s="50"/>
      <c r="AG309" s="50"/>
    </row>
    <row r="310" spans="28:33" ht="12.5">
      <c r="AB310" s="50"/>
      <c r="AC310" s="50"/>
      <c r="AD310" s="50"/>
      <c r="AE310" s="50"/>
      <c r="AF310" s="50"/>
      <c r="AG310" s="50"/>
    </row>
    <row r="311" spans="28:33" ht="12.5">
      <c r="AB311" s="50"/>
      <c r="AC311" s="50"/>
      <c r="AD311" s="50"/>
      <c r="AE311" s="50"/>
      <c r="AF311" s="50"/>
      <c r="AG311" s="50"/>
    </row>
    <row r="312" spans="28:33" ht="12.5">
      <c r="AB312" s="50"/>
      <c r="AC312" s="50"/>
      <c r="AD312" s="50"/>
      <c r="AE312" s="50"/>
      <c r="AF312" s="50"/>
      <c r="AG312" s="50"/>
    </row>
    <row r="313" spans="28:33" ht="12.5">
      <c r="AB313" s="50"/>
      <c r="AC313" s="50"/>
      <c r="AD313" s="50"/>
      <c r="AE313" s="50"/>
      <c r="AF313" s="50"/>
      <c r="AG313" s="50"/>
    </row>
    <row r="314" spans="28:33" ht="12.5">
      <c r="AB314" s="50"/>
      <c r="AC314" s="50"/>
      <c r="AD314" s="50"/>
      <c r="AE314" s="50"/>
      <c r="AF314" s="50"/>
      <c r="AG314" s="50"/>
    </row>
    <row r="315" spans="28:33" ht="12.5">
      <c r="AB315" s="50"/>
      <c r="AC315" s="50"/>
      <c r="AD315" s="50"/>
      <c r="AE315" s="50"/>
      <c r="AF315" s="50"/>
      <c r="AG315" s="50"/>
    </row>
    <row r="316" spans="28:33" ht="12.5">
      <c r="AB316" s="50"/>
      <c r="AC316" s="50"/>
      <c r="AD316" s="50"/>
      <c r="AE316" s="50"/>
      <c r="AF316" s="50"/>
      <c r="AG316" s="50"/>
    </row>
    <row r="317" spans="28:33" ht="12.5">
      <c r="AB317" s="50"/>
      <c r="AC317" s="50"/>
      <c r="AD317" s="50"/>
      <c r="AE317" s="50"/>
      <c r="AF317" s="50"/>
      <c r="AG317" s="50"/>
    </row>
    <row r="318" spans="28:33" ht="12.5">
      <c r="AB318" s="50"/>
      <c r="AC318" s="50"/>
      <c r="AD318" s="50"/>
      <c r="AE318" s="50"/>
      <c r="AF318" s="50"/>
      <c r="AG318" s="50"/>
    </row>
    <row r="319" spans="28:33" ht="12.5">
      <c r="AB319" s="50"/>
      <c r="AC319" s="50"/>
      <c r="AD319" s="50"/>
      <c r="AE319" s="50"/>
      <c r="AF319" s="50"/>
      <c r="AG319" s="50"/>
    </row>
    <row r="320" spans="28:33" ht="12.5">
      <c r="AB320" s="50"/>
      <c r="AC320" s="50"/>
      <c r="AD320" s="50"/>
      <c r="AE320" s="50"/>
      <c r="AF320" s="50"/>
      <c r="AG320" s="50"/>
    </row>
    <row r="321" spans="28:33" ht="12.5">
      <c r="AB321" s="50"/>
      <c r="AC321" s="50"/>
      <c r="AD321" s="50"/>
      <c r="AE321" s="50"/>
      <c r="AF321" s="50"/>
      <c r="AG321" s="50"/>
    </row>
    <row r="322" spans="28:33" ht="12.5">
      <c r="AB322" s="50"/>
      <c r="AC322" s="50"/>
      <c r="AD322" s="50"/>
      <c r="AE322" s="50"/>
      <c r="AF322" s="50"/>
      <c r="AG322" s="50"/>
    </row>
    <row r="323" spans="28:33" ht="12.5">
      <c r="AB323" s="50"/>
      <c r="AC323" s="50"/>
      <c r="AD323" s="50"/>
      <c r="AE323" s="50"/>
      <c r="AF323" s="50"/>
      <c r="AG323" s="50"/>
    </row>
    <row r="324" spans="28:33" ht="12.5">
      <c r="AB324" s="50"/>
      <c r="AC324" s="50"/>
      <c r="AD324" s="50"/>
      <c r="AE324" s="50"/>
      <c r="AF324" s="50"/>
      <c r="AG324" s="50"/>
    </row>
    <row r="325" spans="28:33" ht="12.5">
      <c r="AB325" s="50"/>
      <c r="AC325" s="50"/>
      <c r="AD325" s="50"/>
      <c r="AE325" s="50"/>
      <c r="AF325" s="50"/>
      <c r="AG325" s="50"/>
    </row>
    <row r="326" spans="28:33" ht="12.5">
      <c r="AB326" s="50"/>
      <c r="AC326" s="50"/>
      <c r="AD326" s="50"/>
      <c r="AE326" s="50"/>
      <c r="AF326" s="50"/>
      <c r="AG326" s="50"/>
    </row>
    <row r="327" spans="28:33" ht="12.5">
      <c r="AB327" s="50"/>
      <c r="AC327" s="50"/>
      <c r="AD327" s="50"/>
      <c r="AE327" s="50"/>
      <c r="AF327" s="50"/>
      <c r="AG327" s="50"/>
    </row>
    <row r="328" spans="28:33" ht="12.5">
      <c r="AB328" s="50"/>
      <c r="AC328" s="50"/>
      <c r="AD328" s="50"/>
      <c r="AE328" s="50"/>
      <c r="AF328" s="50"/>
      <c r="AG328" s="50"/>
    </row>
    <row r="329" spans="28:33" ht="12.5">
      <c r="AB329" s="50"/>
      <c r="AC329" s="50"/>
      <c r="AD329" s="50"/>
      <c r="AE329" s="50"/>
      <c r="AF329" s="50"/>
      <c r="AG329" s="50"/>
    </row>
    <row r="330" spans="28:33" ht="12.5">
      <c r="AB330" s="50"/>
      <c r="AC330" s="50"/>
      <c r="AD330" s="50"/>
      <c r="AE330" s="50"/>
      <c r="AF330" s="50"/>
      <c r="AG330" s="50"/>
    </row>
    <row r="331" spans="28:33" ht="12.5">
      <c r="AB331" s="50"/>
      <c r="AC331" s="50"/>
      <c r="AD331" s="50"/>
      <c r="AE331" s="50"/>
      <c r="AF331" s="50"/>
      <c r="AG331" s="50"/>
    </row>
    <row r="332" spans="28:33" ht="12.5">
      <c r="AB332" s="50"/>
      <c r="AC332" s="50"/>
      <c r="AD332" s="50"/>
      <c r="AE332" s="50"/>
      <c r="AF332" s="50"/>
      <c r="AG332" s="50"/>
    </row>
    <row r="333" spans="28:33" ht="12.5">
      <c r="AB333" s="50"/>
      <c r="AC333" s="50"/>
      <c r="AD333" s="50"/>
      <c r="AE333" s="50"/>
      <c r="AF333" s="50"/>
      <c r="AG333" s="50"/>
    </row>
    <row r="334" spans="28:33" ht="12.5">
      <c r="AB334" s="50"/>
      <c r="AC334" s="50"/>
      <c r="AD334" s="50"/>
      <c r="AE334" s="50"/>
      <c r="AF334" s="50"/>
      <c r="AG334" s="50"/>
    </row>
    <row r="335" spans="28:33" ht="12.5">
      <c r="AB335" s="50"/>
      <c r="AC335" s="50"/>
      <c r="AD335" s="50"/>
      <c r="AE335" s="50"/>
      <c r="AF335" s="50"/>
      <c r="AG335" s="50"/>
    </row>
    <row r="336" spans="28:33" ht="12.5">
      <c r="AB336" s="50"/>
      <c r="AC336" s="50"/>
      <c r="AD336" s="50"/>
      <c r="AE336" s="50"/>
      <c r="AF336" s="50"/>
      <c r="AG336" s="50"/>
    </row>
    <row r="337" spans="28:33" ht="12.5">
      <c r="AB337" s="50"/>
      <c r="AC337" s="50"/>
      <c r="AD337" s="50"/>
      <c r="AE337" s="50"/>
      <c r="AF337" s="50"/>
      <c r="AG337" s="50"/>
    </row>
    <row r="338" spans="28:33" ht="12.5">
      <c r="AB338" s="50"/>
      <c r="AC338" s="50"/>
      <c r="AD338" s="50"/>
      <c r="AE338" s="50"/>
      <c r="AF338" s="50"/>
      <c r="AG338" s="50"/>
    </row>
    <row r="339" spans="28:33" ht="12.5">
      <c r="AB339" s="50"/>
      <c r="AC339" s="50"/>
      <c r="AD339" s="50"/>
      <c r="AE339" s="50"/>
      <c r="AF339" s="50"/>
      <c r="AG339" s="50"/>
    </row>
    <row r="340" spans="28:33" ht="12.5">
      <c r="AB340" s="50"/>
      <c r="AC340" s="50"/>
      <c r="AD340" s="50"/>
      <c r="AE340" s="50"/>
      <c r="AF340" s="50"/>
      <c r="AG340" s="50"/>
    </row>
    <row r="341" spans="28:33" ht="12.5">
      <c r="AB341" s="50"/>
      <c r="AC341" s="50"/>
      <c r="AD341" s="50"/>
      <c r="AE341" s="50"/>
      <c r="AF341" s="50"/>
      <c r="AG341" s="50"/>
    </row>
    <row r="342" spans="28:33" ht="12.5">
      <c r="AB342" s="50"/>
      <c r="AC342" s="50"/>
      <c r="AD342" s="50"/>
      <c r="AE342" s="50"/>
      <c r="AF342" s="50"/>
      <c r="AG342" s="50"/>
    </row>
    <row r="343" spans="28:33" ht="12.5">
      <c r="AB343" s="50"/>
      <c r="AC343" s="50"/>
      <c r="AD343" s="50"/>
      <c r="AE343" s="50"/>
      <c r="AF343" s="50"/>
      <c r="AG343" s="50"/>
    </row>
    <row r="344" spans="28:33" ht="12.5">
      <c r="AB344" s="50"/>
      <c r="AC344" s="50"/>
      <c r="AD344" s="50"/>
      <c r="AE344" s="50"/>
      <c r="AF344" s="50"/>
      <c r="AG344" s="50"/>
    </row>
    <row r="345" spans="28:33" ht="12.5">
      <c r="AB345" s="50"/>
      <c r="AC345" s="50"/>
      <c r="AD345" s="50"/>
      <c r="AE345" s="50"/>
      <c r="AF345" s="50"/>
      <c r="AG345" s="50"/>
    </row>
    <row r="346" spans="28:33" ht="12.5">
      <c r="AB346" s="50"/>
      <c r="AC346" s="50"/>
      <c r="AD346" s="50"/>
      <c r="AE346" s="50"/>
      <c r="AF346" s="50"/>
      <c r="AG346" s="50"/>
    </row>
    <row r="347" spans="28:33" ht="12.5">
      <c r="AB347" s="50"/>
      <c r="AC347" s="50"/>
      <c r="AD347" s="50"/>
      <c r="AE347" s="50"/>
      <c r="AF347" s="50"/>
      <c r="AG347" s="50"/>
    </row>
    <row r="348" spans="28:33" ht="12.5">
      <c r="AB348" s="50"/>
      <c r="AC348" s="50"/>
      <c r="AD348" s="50"/>
      <c r="AE348" s="50"/>
      <c r="AF348" s="50"/>
      <c r="AG348" s="50"/>
    </row>
    <row r="349" spans="28:33" ht="12.5">
      <c r="AB349" s="50"/>
      <c r="AC349" s="50"/>
      <c r="AD349" s="50"/>
      <c r="AE349" s="50"/>
      <c r="AF349" s="50"/>
      <c r="AG349" s="50"/>
    </row>
    <row r="350" spans="28:33" ht="12.5">
      <c r="AB350" s="50"/>
      <c r="AC350" s="50"/>
      <c r="AD350" s="50"/>
      <c r="AE350" s="50"/>
      <c r="AF350" s="50"/>
      <c r="AG350" s="50"/>
    </row>
    <row r="351" spans="28:33" ht="12.5">
      <c r="AB351" s="50"/>
      <c r="AC351" s="50"/>
      <c r="AD351" s="50"/>
      <c r="AE351" s="50"/>
      <c r="AF351" s="50"/>
      <c r="AG351" s="50"/>
    </row>
    <row r="352" spans="28:33" ht="12.5">
      <c r="AB352" s="50"/>
      <c r="AC352" s="50"/>
      <c r="AD352" s="50"/>
      <c r="AE352" s="50"/>
      <c r="AF352" s="50"/>
      <c r="AG352" s="50"/>
    </row>
    <row r="353" spans="28:33" ht="12.5">
      <c r="AB353" s="50"/>
      <c r="AC353" s="50"/>
      <c r="AD353" s="50"/>
      <c r="AE353" s="50"/>
      <c r="AF353" s="50"/>
      <c r="AG353" s="50"/>
    </row>
    <row r="354" spans="28:33" ht="12.5">
      <c r="AB354" s="50"/>
      <c r="AC354" s="50"/>
      <c r="AD354" s="50"/>
      <c r="AE354" s="50"/>
      <c r="AF354" s="50"/>
      <c r="AG354" s="50"/>
    </row>
    <row r="355" spans="28:33" ht="12.5">
      <c r="AB355" s="50"/>
      <c r="AC355" s="50"/>
      <c r="AD355" s="50"/>
      <c r="AE355" s="50"/>
      <c r="AF355" s="50"/>
      <c r="AG355" s="50"/>
    </row>
    <row r="356" spans="28:33" ht="12.5">
      <c r="AB356" s="50"/>
      <c r="AC356" s="50"/>
      <c r="AD356" s="50"/>
      <c r="AE356" s="50"/>
      <c r="AF356" s="50"/>
      <c r="AG356" s="50"/>
    </row>
    <row r="357" spans="28:33" ht="12.5">
      <c r="AB357" s="50"/>
      <c r="AC357" s="50"/>
      <c r="AD357" s="50"/>
      <c r="AE357" s="50"/>
      <c r="AF357" s="50"/>
      <c r="AG357" s="50"/>
    </row>
    <row r="358" spans="28:33" ht="12.5">
      <c r="AB358" s="50"/>
      <c r="AC358" s="50"/>
      <c r="AD358" s="50"/>
      <c r="AE358" s="50"/>
      <c r="AF358" s="50"/>
      <c r="AG358" s="50"/>
    </row>
    <row r="359" spans="28:33" ht="12.5">
      <c r="AB359" s="50"/>
      <c r="AC359" s="50"/>
      <c r="AD359" s="50"/>
      <c r="AE359" s="50"/>
      <c r="AF359" s="50"/>
      <c r="AG359" s="50"/>
    </row>
    <row r="360" spans="28:33" ht="12.5">
      <c r="AB360" s="50"/>
      <c r="AC360" s="50"/>
      <c r="AD360" s="50"/>
      <c r="AE360" s="50"/>
      <c r="AF360" s="50"/>
      <c r="AG360" s="50"/>
    </row>
    <row r="361" spans="28:33" ht="12.5">
      <c r="AB361" s="50"/>
      <c r="AC361" s="50"/>
      <c r="AD361" s="50"/>
      <c r="AE361" s="50"/>
      <c r="AF361" s="50"/>
      <c r="AG361" s="50"/>
    </row>
    <row r="362" spans="28:33" ht="12.5">
      <c r="AB362" s="50"/>
      <c r="AC362" s="50"/>
      <c r="AD362" s="50"/>
      <c r="AE362" s="50"/>
      <c r="AF362" s="50"/>
      <c r="AG362" s="50"/>
    </row>
    <row r="363" spans="28:33" ht="12.5">
      <c r="AB363" s="50"/>
      <c r="AC363" s="50"/>
      <c r="AD363" s="50"/>
      <c r="AE363" s="50"/>
      <c r="AF363" s="50"/>
      <c r="AG363" s="50"/>
    </row>
    <row r="364" spans="28:33" ht="12.5">
      <c r="AB364" s="50"/>
      <c r="AC364" s="50"/>
      <c r="AD364" s="50"/>
      <c r="AE364" s="50"/>
      <c r="AF364" s="50"/>
      <c r="AG364" s="50"/>
    </row>
    <row r="365" spans="28:33" ht="12.5">
      <c r="AB365" s="50"/>
      <c r="AC365" s="50"/>
      <c r="AD365" s="50"/>
      <c r="AE365" s="50"/>
      <c r="AF365" s="50"/>
      <c r="AG365" s="50"/>
    </row>
    <row r="366" spans="28:33" ht="12.5">
      <c r="AB366" s="50"/>
      <c r="AC366" s="50"/>
      <c r="AD366" s="50"/>
      <c r="AE366" s="50"/>
      <c r="AF366" s="50"/>
      <c r="AG366" s="50"/>
    </row>
    <row r="367" spans="28:33" ht="12.5">
      <c r="AB367" s="50"/>
      <c r="AC367" s="50"/>
      <c r="AD367" s="50"/>
      <c r="AE367" s="50"/>
      <c r="AF367" s="50"/>
      <c r="AG367" s="50"/>
    </row>
    <row r="368" spans="28:33" ht="12.5">
      <c r="AB368" s="50"/>
      <c r="AC368" s="50"/>
      <c r="AD368" s="50"/>
      <c r="AE368" s="50"/>
      <c r="AF368" s="50"/>
      <c r="AG368" s="50"/>
    </row>
    <row r="369" spans="28:33" ht="12.5">
      <c r="AB369" s="50"/>
      <c r="AC369" s="50"/>
      <c r="AD369" s="50"/>
      <c r="AE369" s="50"/>
      <c r="AF369" s="50"/>
      <c r="AG369" s="50"/>
    </row>
    <row r="370" spans="28:33" ht="12.5">
      <c r="AB370" s="50"/>
      <c r="AC370" s="50"/>
      <c r="AD370" s="50"/>
      <c r="AE370" s="50"/>
      <c r="AF370" s="50"/>
      <c r="AG370" s="50"/>
    </row>
    <row r="371" spans="28:33" ht="12.5">
      <c r="AB371" s="50"/>
      <c r="AC371" s="50"/>
      <c r="AD371" s="50"/>
      <c r="AE371" s="50"/>
      <c r="AF371" s="50"/>
      <c r="AG371" s="50"/>
    </row>
    <row r="372" spans="28:33" ht="12.5">
      <c r="AB372" s="50"/>
      <c r="AC372" s="50"/>
      <c r="AD372" s="50"/>
      <c r="AE372" s="50"/>
      <c r="AF372" s="50"/>
      <c r="AG372" s="50"/>
    </row>
    <row r="373" spans="28:33" ht="12.5">
      <c r="AB373" s="50"/>
      <c r="AC373" s="50"/>
      <c r="AD373" s="50"/>
      <c r="AE373" s="50"/>
      <c r="AF373" s="50"/>
      <c r="AG373" s="50"/>
    </row>
    <row r="374" spans="28:33" ht="12.5">
      <c r="AB374" s="50"/>
      <c r="AC374" s="50"/>
      <c r="AD374" s="50"/>
      <c r="AE374" s="50"/>
      <c r="AF374" s="50"/>
      <c r="AG374" s="50"/>
    </row>
    <row r="375" spans="28:33" ht="12.5">
      <c r="AB375" s="50"/>
      <c r="AC375" s="50"/>
      <c r="AD375" s="50"/>
      <c r="AE375" s="50"/>
      <c r="AF375" s="50"/>
      <c r="AG375" s="50"/>
    </row>
    <row r="376" spans="28:33" ht="12.5">
      <c r="AB376" s="50"/>
      <c r="AC376" s="50"/>
      <c r="AD376" s="50"/>
      <c r="AE376" s="50"/>
      <c r="AF376" s="50"/>
      <c r="AG376" s="50"/>
    </row>
    <row r="377" spans="28:33" ht="12.5">
      <c r="AB377" s="50"/>
      <c r="AC377" s="50"/>
      <c r="AD377" s="50"/>
      <c r="AE377" s="50"/>
      <c r="AF377" s="50"/>
      <c r="AG377" s="50"/>
    </row>
    <row r="378" spans="28:33" ht="12.5">
      <c r="AB378" s="50"/>
      <c r="AC378" s="50"/>
      <c r="AD378" s="50"/>
      <c r="AE378" s="50"/>
      <c r="AF378" s="50"/>
      <c r="AG378" s="50"/>
    </row>
    <row r="379" spans="28:33" ht="12.5">
      <c r="AB379" s="50"/>
      <c r="AC379" s="50"/>
      <c r="AD379" s="50"/>
      <c r="AE379" s="50"/>
      <c r="AF379" s="50"/>
      <c r="AG379" s="50"/>
    </row>
    <row r="380" spans="28:33" ht="12.5">
      <c r="AB380" s="50"/>
      <c r="AC380" s="50"/>
      <c r="AD380" s="50"/>
      <c r="AE380" s="50"/>
      <c r="AF380" s="50"/>
      <c r="AG380" s="50"/>
    </row>
    <row r="381" spans="28:33" ht="12.5">
      <c r="AB381" s="50"/>
      <c r="AC381" s="50"/>
      <c r="AD381" s="50"/>
      <c r="AE381" s="50"/>
      <c r="AF381" s="50"/>
      <c r="AG381" s="50"/>
    </row>
    <row r="382" spans="28:33" ht="12.5">
      <c r="AB382" s="50"/>
      <c r="AC382" s="50"/>
      <c r="AD382" s="50"/>
      <c r="AE382" s="50"/>
      <c r="AF382" s="50"/>
      <c r="AG382" s="50"/>
    </row>
    <row r="383" spans="28:33" ht="12.5">
      <c r="AB383" s="50"/>
      <c r="AC383" s="50"/>
      <c r="AD383" s="50"/>
      <c r="AE383" s="50"/>
      <c r="AF383" s="50"/>
      <c r="AG383" s="50"/>
    </row>
    <row r="384" spans="28:33" ht="12.5">
      <c r="AB384" s="50"/>
      <c r="AC384" s="50"/>
      <c r="AD384" s="50"/>
      <c r="AE384" s="50"/>
      <c r="AF384" s="50"/>
      <c r="AG384" s="50"/>
    </row>
    <row r="385" spans="28:33" ht="12.5">
      <c r="AB385" s="50"/>
      <c r="AC385" s="50"/>
      <c r="AD385" s="50"/>
      <c r="AE385" s="50"/>
      <c r="AF385" s="50"/>
      <c r="AG385" s="50"/>
    </row>
    <row r="386" spans="28:33" ht="12.5">
      <c r="AB386" s="50"/>
      <c r="AC386" s="50"/>
      <c r="AD386" s="50"/>
      <c r="AE386" s="50"/>
      <c r="AF386" s="50"/>
      <c r="AG386" s="50"/>
    </row>
    <row r="387" spans="28:33" ht="12.5">
      <c r="AB387" s="50"/>
      <c r="AC387" s="50"/>
      <c r="AD387" s="50"/>
      <c r="AE387" s="50"/>
      <c r="AF387" s="50"/>
      <c r="AG387" s="50"/>
    </row>
    <row r="388" spans="28:33" ht="12.5">
      <c r="AB388" s="50"/>
      <c r="AC388" s="50"/>
      <c r="AD388" s="50"/>
      <c r="AE388" s="50"/>
      <c r="AF388" s="50"/>
      <c r="AG388" s="50"/>
    </row>
    <row r="389" spans="28:33" ht="12.5">
      <c r="AB389" s="50"/>
      <c r="AC389" s="50"/>
      <c r="AD389" s="50"/>
      <c r="AE389" s="50"/>
      <c r="AF389" s="50"/>
      <c r="AG389" s="50"/>
    </row>
    <row r="390" spans="28:33" ht="12.5">
      <c r="AB390" s="50"/>
      <c r="AC390" s="50"/>
      <c r="AD390" s="50"/>
      <c r="AE390" s="50"/>
      <c r="AF390" s="50"/>
      <c r="AG390" s="50"/>
    </row>
    <row r="391" spans="28:33" ht="12.5">
      <c r="AB391" s="50"/>
      <c r="AC391" s="50"/>
      <c r="AD391" s="50"/>
      <c r="AE391" s="50"/>
      <c r="AF391" s="50"/>
      <c r="AG391" s="50"/>
    </row>
    <row r="392" spans="28:33" ht="12.5">
      <c r="AB392" s="50"/>
      <c r="AC392" s="50"/>
      <c r="AD392" s="50"/>
      <c r="AE392" s="50"/>
      <c r="AF392" s="50"/>
      <c r="AG392" s="50"/>
    </row>
    <row r="393" spans="28:33" ht="12.5">
      <c r="AB393" s="50"/>
      <c r="AC393" s="50"/>
      <c r="AD393" s="50"/>
      <c r="AE393" s="50"/>
      <c r="AF393" s="50"/>
      <c r="AG393" s="50"/>
    </row>
    <row r="394" spans="28:33" ht="12.5">
      <c r="AB394" s="50"/>
      <c r="AC394" s="50"/>
      <c r="AD394" s="50"/>
      <c r="AE394" s="50"/>
      <c r="AF394" s="50"/>
      <c r="AG394" s="50"/>
    </row>
    <row r="395" spans="28:33" ht="12.5">
      <c r="AB395" s="50"/>
      <c r="AC395" s="50"/>
      <c r="AD395" s="50"/>
      <c r="AE395" s="50"/>
      <c r="AF395" s="50"/>
      <c r="AG395" s="50"/>
    </row>
    <row r="396" spans="28:33" ht="12.5">
      <c r="AB396" s="50"/>
      <c r="AC396" s="50"/>
      <c r="AD396" s="50"/>
      <c r="AE396" s="50"/>
      <c r="AF396" s="50"/>
      <c r="AG396" s="50"/>
    </row>
    <row r="397" spans="28:33" ht="12.5">
      <c r="AB397" s="50"/>
      <c r="AC397" s="50"/>
      <c r="AD397" s="50"/>
      <c r="AE397" s="50"/>
      <c r="AF397" s="50"/>
      <c r="AG397" s="50"/>
    </row>
    <row r="398" spans="28:33" ht="12.5">
      <c r="AB398" s="50"/>
      <c r="AC398" s="50"/>
      <c r="AD398" s="50"/>
      <c r="AE398" s="50"/>
      <c r="AF398" s="50"/>
      <c r="AG398" s="50"/>
    </row>
    <row r="399" spans="28:33" ht="12.5">
      <c r="AB399" s="50"/>
      <c r="AC399" s="50"/>
      <c r="AD399" s="50"/>
      <c r="AE399" s="50"/>
      <c r="AF399" s="50"/>
      <c r="AG399" s="50"/>
    </row>
    <row r="400" spans="28:33" ht="12.5">
      <c r="AB400" s="50"/>
      <c r="AC400" s="50"/>
      <c r="AD400" s="50"/>
      <c r="AE400" s="50"/>
      <c r="AF400" s="50"/>
      <c r="AG400" s="50"/>
    </row>
    <row r="401" spans="28:33" ht="12.5">
      <c r="AB401" s="50"/>
      <c r="AC401" s="50"/>
      <c r="AD401" s="50"/>
      <c r="AE401" s="50"/>
      <c r="AF401" s="50"/>
      <c r="AG401" s="50"/>
    </row>
    <row r="402" spans="28:33" ht="12.5">
      <c r="AB402" s="50"/>
      <c r="AC402" s="50"/>
      <c r="AD402" s="50"/>
      <c r="AE402" s="50"/>
      <c r="AF402" s="50"/>
      <c r="AG402" s="50"/>
    </row>
    <row r="403" spans="28:33" ht="12.5">
      <c r="AB403" s="50"/>
      <c r="AC403" s="50"/>
      <c r="AD403" s="50"/>
      <c r="AE403" s="50"/>
      <c r="AF403" s="50"/>
      <c r="AG403" s="50"/>
    </row>
    <row r="404" spans="28:33" ht="12.5">
      <c r="AB404" s="50"/>
      <c r="AC404" s="50"/>
      <c r="AD404" s="50"/>
      <c r="AE404" s="50"/>
      <c r="AF404" s="50"/>
      <c r="AG404" s="50"/>
    </row>
    <row r="405" spans="28:33" ht="12.5">
      <c r="AB405" s="50"/>
      <c r="AC405" s="50"/>
      <c r="AD405" s="50"/>
      <c r="AE405" s="50"/>
      <c r="AF405" s="50"/>
      <c r="AG405" s="50"/>
    </row>
    <row r="406" spans="28:33" ht="12.5">
      <c r="AB406" s="50"/>
      <c r="AC406" s="50"/>
      <c r="AD406" s="50"/>
      <c r="AE406" s="50"/>
      <c r="AF406" s="50"/>
      <c r="AG406" s="50"/>
    </row>
    <row r="407" spans="28:33" ht="12.5">
      <c r="AB407" s="50"/>
      <c r="AC407" s="50"/>
      <c r="AD407" s="50"/>
      <c r="AE407" s="50"/>
      <c r="AF407" s="50"/>
      <c r="AG407" s="50"/>
    </row>
    <row r="408" spans="28:33" ht="12.5">
      <c r="AB408" s="50"/>
      <c r="AC408" s="50"/>
      <c r="AD408" s="50"/>
      <c r="AE408" s="50"/>
      <c r="AF408" s="50"/>
      <c r="AG408" s="50"/>
    </row>
    <row r="409" spans="28:33" ht="12.5">
      <c r="AB409" s="50"/>
      <c r="AC409" s="50"/>
      <c r="AD409" s="50"/>
      <c r="AE409" s="50"/>
      <c r="AF409" s="50"/>
      <c r="AG409" s="50"/>
    </row>
    <row r="410" spans="28:33" ht="12.5">
      <c r="AB410" s="50"/>
      <c r="AC410" s="50"/>
      <c r="AD410" s="50"/>
      <c r="AE410" s="50"/>
      <c r="AF410" s="50"/>
      <c r="AG410" s="50"/>
    </row>
    <row r="411" spans="28:33" ht="12.5">
      <c r="AB411" s="50"/>
      <c r="AC411" s="50"/>
      <c r="AD411" s="50"/>
      <c r="AE411" s="50"/>
      <c r="AF411" s="50"/>
      <c r="AG411" s="50"/>
    </row>
    <row r="412" spans="28:33" ht="12.5">
      <c r="AB412" s="50"/>
      <c r="AC412" s="50"/>
      <c r="AD412" s="50"/>
      <c r="AE412" s="50"/>
      <c r="AF412" s="50"/>
      <c r="AG412" s="50"/>
    </row>
    <row r="413" spans="28:33" ht="12.5">
      <c r="AB413" s="50"/>
      <c r="AC413" s="50"/>
      <c r="AD413" s="50"/>
      <c r="AE413" s="50"/>
      <c r="AF413" s="50"/>
      <c r="AG413" s="50"/>
    </row>
    <row r="414" spans="28:33" ht="12.5">
      <c r="AB414" s="50"/>
      <c r="AC414" s="50"/>
      <c r="AD414" s="50"/>
      <c r="AE414" s="50"/>
      <c r="AF414" s="50"/>
      <c r="AG414" s="50"/>
    </row>
    <row r="415" spans="28:33" ht="12.5">
      <c r="AB415" s="50"/>
      <c r="AC415" s="50"/>
      <c r="AD415" s="50"/>
      <c r="AE415" s="50"/>
      <c r="AF415" s="50"/>
      <c r="AG415" s="50"/>
    </row>
    <row r="416" spans="28:33" ht="12.5">
      <c r="AB416" s="50"/>
      <c r="AC416" s="50"/>
      <c r="AD416" s="50"/>
      <c r="AE416" s="50"/>
      <c r="AF416" s="50"/>
      <c r="AG416" s="50"/>
    </row>
    <row r="417" spans="28:33" ht="12.5">
      <c r="AB417" s="50"/>
      <c r="AC417" s="50"/>
      <c r="AD417" s="50"/>
      <c r="AE417" s="50"/>
      <c r="AF417" s="50"/>
      <c r="AG417" s="50"/>
    </row>
    <row r="418" spans="28:33" ht="12.5">
      <c r="AB418" s="50"/>
      <c r="AC418" s="50"/>
      <c r="AD418" s="50"/>
      <c r="AE418" s="50"/>
      <c r="AF418" s="50"/>
      <c r="AG418" s="50"/>
    </row>
    <row r="419" spans="28:33" ht="12.5">
      <c r="AB419" s="50"/>
      <c r="AC419" s="50"/>
      <c r="AD419" s="50"/>
      <c r="AE419" s="50"/>
      <c r="AF419" s="50"/>
      <c r="AG419" s="50"/>
    </row>
    <row r="420" spans="28:33" ht="12.5">
      <c r="AB420" s="50"/>
      <c r="AC420" s="50"/>
      <c r="AD420" s="50"/>
      <c r="AE420" s="50"/>
      <c r="AF420" s="50"/>
      <c r="AG420" s="50"/>
    </row>
    <row r="421" spans="28:33" ht="12.5">
      <c r="AB421" s="50"/>
      <c r="AC421" s="50"/>
      <c r="AD421" s="50"/>
      <c r="AE421" s="50"/>
      <c r="AF421" s="50"/>
      <c r="AG421" s="50"/>
    </row>
    <row r="422" spans="28:33" ht="12.5">
      <c r="AB422" s="50"/>
      <c r="AC422" s="50"/>
      <c r="AD422" s="50"/>
      <c r="AE422" s="50"/>
      <c r="AF422" s="50"/>
      <c r="AG422" s="50"/>
    </row>
    <row r="423" spans="28:33" ht="12.5">
      <c r="AB423" s="50"/>
      <c r="AC423" s="50"/>
      <c r="AD423" s="50"/>
      <c r="AE423" s="50"/>
      <c r="AF423" s="50"/>
      <c r="AG423" s="50"/>
    </row>
    <row r="424" spans="28:33" ht="12.5">
      <c r="AB424" s="50"/>
      <c r="AC424" s="50"/>
      <c r="AD424" s="50"/>
      <c r="AE424" s="50"/>
      <c r="AF424" s="50"/>
      <c r="AG424" s="50"/>
    </row>
    <row r="425" spans="28:33" ht="12.5">
      <c r="AB425" s="50"/>
      <c r="AC425" s="50"/>
      <c r="AD425" s="50"/>
      <c r="AE425" s="50"/>
      <c r="AF425" s="50"/>
      <c r="AG425" s="50"/>
    </row>
    <row r="426" spans="28:33" ht="12.5">
      <c r="AB426" s="50"/>
      <c r="AC426" s="50"/>
      <c r="AD426" s="50"/>
      <c r="AE426" s="50"/>
      <c r="AF426" s="50"/>
      <c r="AG426" s="50"/>
    </row>
    <row r="427" spans="28:33" ht="12.5">
      <c r="AB427" s="50"/>
      <c r="AC427" s="50"/>
      <c r="AD427" s="50"/>
      <c r="AE427" s="50"/>
      <c r="AF427" s="50"/>
      <c r="AG427" s="50"/>
    </row>
    <row r="428" spans="28:33" ht="12.5">
      <c r="AB428" s="50"/>
      <c r="AC428" s="50"/>
      <c r="AD428" s="50"/>
      <c r="AE428" s="50"/>
      <c r="AF428" s="50"/>
      <c r="AG428" s="50"/>
    </row>
    <row r="429" spans="28:33" ht="12.5">
      <c r="AB429" s="50"/>
      <c r="AC429" s="50"/>
      <c r="AD429" s="50"/>
      <c r="AE429" s="50"/>
      <c r="AF429" s="50"/>
      <c r="AG429" s="50"/>
    </row>
    <row r="430" spans="28:33" ht="12.5">
      <c r="AB430" s="50"/>
      <c r="AC430" s="50"/>
      <c r="AD430" s="50"/>
      <c r="AE430" s="50"/>
      <c r="AF430" s="50"/>
      <c r="AG430" s="50"/>
    </row>
    <row r="431" spans="28:33" ht="12.5">
      <c r="AB431" s="50"/>
      <c r="AC431" s="50"/>
      <c r="AD431" s="50"/>
      <c r="AE431" s="50"/>
      <c r="AF431" s="50"/>
      <c r="AG431" s="50"/>
    </row>
    <row r="432" spans="28:33" ht="12.5">
      <c r="AB432" s="50"/>
      <c r="AC432" s="50"/>
      <c r="AD432" s="50"/>
      <c r="AE432" s="50"/>
      <c r="AF432" s="50"/>
      <c r="AG432" s="50"/>
    </row>
    <row r="433" spans="28:33" ht="12.5">
      <c r="AB433" s="50"/>
      <c r="AC433" s="50"/>
      <c r="AD433" s="50"/>
      <c r="AE433" s="50"/>
      <c r="AF433" s="50"/>
      <c r="AG433" s="50"/>
    </row>
    <row r="434" spans="28:33" ht="12.5">
      <c r="AB434" s="50"/>
      <c r="AC434" s="50"/>
      <c r="AD434" s="50"/>
      <c r="AE434" s="50"/>
      <c r="AF434" s="50"/>
      <c r="AG434" s="50"/>
    </row>
    <row r="435" spans="28:33" ht="12.5">
      <c r="AB435" s="50"/>
      <c r="AC435" s="50"/>
      <c r="AD435" s="50"/>
      <c r="AE435" s="50"/>
      <c r="AF435" s="50"/>
      <c r="AG435" s="50"/>
    </row>
    <row r="436" spans="28:33" ht="12.5">
      <c r="AB436" s="50"/>
      <c r="AC436" s="50"/>
      <c r="AD436" s="50"/>
      <c r="AE436" s="50"/>
      <c r="AF436" s="50"/>
      <c r="AG436" s="50"/>
    </row>
    <row r="437" spans="28:33" ht="12.5">
      <c r="AB437" s="50"/>
      <c r="AC437" s="50"/>
      <c r="AD437" s="50"/>
      <c r="AE437" s="50"/>
      <c r="AF437" s="50"/>
      <c r="AG437" s="50"/>
    </row>
    <row r="438" spans="28:33" ht="12.5">
      <c r="AB438" s="50"/>
      <c r="AC438" s="50"/>
      <c r="AD438" s="50"/>
      <c r="AE438" s="50"/>
      <c r="AF438" s="50"/>
      <c r="AG438" s="50"/>
    </row>
    <row r="439" spans="28:33" ht="12.5">
      <c r="AB439" s="50"/>
      <c r="AC439" s="50"/>
      <c r="AD439" s="50"/>
      <c r="AE439" s="50"/>
      <c r="AF439" s="50"/>
      <c r="AG439" s="50"/>
    </row>
    <row r="440" spans="28:33" ht="12.5">
      <c r="AB440" s="50"/>
      <c r="AC440" s="50"/>
      <c r="AD440" s="50"/>
      <c r="AE440" s="50"/>
      <c r="AF440" s="50"/>
      <c r="AG440" s="50"/>
    </row>
    <row r="441" spans="28:33" ht="12.5">
      <c r="AB441" s="50"/>
      <c r="AC441" s="50"/>
      <c r="AD441" s="50"/>
      <c r="AE441" s="50"/>
      <c r="AF441" s="50"/>
      <c r="AG441" s="50"/>
    </row>
    <row r="442" spans="28:33" ht="12.5">
      <c r="AB442" s="50"/>
      <c r="AC442" s="50"/>
      <c r="AD442" s="50"/>
      <c r="AE442" s="50"/>
      <c r="AF442" s="50"/>
      <c r="AG442" s="50"/>
    </row>
    <row r="443" spans="28:33" ht="12.5">
      <c r="AB443" s="50"/>
      <c r="AC443" s="50"/>
      <c r="AD443" s="50"/>
      <c r="AE443" s="50"/>
      <c r="AF443" s="50"/>
      <c r="AG443" s="50"/>
    </row>
    <row r="444" spans="28:33" ht="12.5">
      <c r="AB444" s="50"/>
      <c r="AC444" s="50"/>
      <c r="AD444" s="50"/>
      <c r="AE444" s="50"/>
      <c r="AF444" s="50"/>
      <c r="AG444" s="50"/>
    </row>
    <row r="445" spans="28:33" ht="12.5">
      <c r="AB445" s="50"/>
      <c r="AC445" s="50"/>
      <c r="AD445" s="50"/>
      <c r="AE445" s="50"/>
      <c r="AF445" s="50"/>
      <c r="AG445" s="50"/>
    </row>
    <row r="446" spans="28:33" ht="12.5">
      <c r="AB446" s="50"/>
      <c r="AC446" s="50"/>
      <c r="AD446" s="50"/>
      <c r="AE446" s="50"/>
      <c r="AF446" s="50"/>
      <c r="AG446" s="50"/>
    </row>
    <row r="447" spans="28:33" ht="12.5">
      <c r="AB447" s="50"/>
      <c r="AC447" s="50"/>
      <c r="AD447" s="50"/>
      <c r="AE447" s="50"/>
      <c r="AF447" s="50"/>
      <c r="AG447" s="50"/>
    </row>
    <row r="448" spans="28:33" ht="12.5">
      <c r="AB448" s="50"/>
      <c r="AC448" s="50"/>
      <c r="AD448" s="50"/>
      <c r="AE448" s="50"/>
      <c r="AF448" s="50"/>
      <c r="AG448" s="50"/>
    </row>
    <row r="449" spans="28:33" ht="12.5">
      <c r="AB449" s="50"/>
      <c r="AC449" s="50"/>
      <c r="AD449" s="50"/>
      <c r="AE449" s="50"/>
      <c r="AF449" s="50"/>
      <c r="AG449" s="50"/>
    </row>
    <row r="450" spans="28:33" ht="12.5">
      <c r="AB450" s="50"/>
      <c r="AC450" s="50"/>
      <c r="AD450" s="50"/>
      <c r="AE450" s="50"/>
      <c r="AF450" s="50"/>
      <c r="AG450" s="50"/>
    </row>
    <row r="451" spans="28:33" ht="12.5">
      <c r="AB451" s="50"/>
      <c r="AC451" s="50"/>
      <c r="AD451" s="50"/>
      <c r="AE451" s="50"/>
      <c r="AF451" s="50"/>
      <c r="AG451" s="50"/>
    </row>
    <row r="452" spans="28:33" ht="12.5">
      <c r="AB452" s="50"/>
      <c r="AC452" s="50"/>
      <c r="AD452" s="50"/>
      <c r="AE452" s="50"/>
      <c r="AF452" s="50"/>
      <c r="AG452" s="50"/>
    </row>
    <row r="453" spans="28:33" ht="12.5">
      <c r="AB453" s="50"/>
      <c r="AC453" s="50"/>
      <c r="AD453" s="50"/>
      <c r="AE453" s="50"/>
      <c r="AF453" s="50"/>
      <c r="AG453" s="50"/>
    </row>
    <row r="454" spans="28:33" ht="12.5">
      <c r="AB454" s="50"/>
      <c r="AC454" s="50"/>
      <c r="AD454" s="50"/>
      <c r="AE454" s="50"/>
      <c r="AF454" s="50"/>
      <c r="AG454" s="50"/>
    </row>
    <row r="455" spans="28:33" ht="12.5">
      <c r="AB455" s="50"/>
      <c r="AC455" s="50"/>
      <c r="AD455" s="50"/>
      <c r="AE455" s="50"/>
      <c r="AF455" s="50"/>
      <c r="AG455" s="50"/>
    </row>
    <row r="456" spans="28:33" ht="12.5">
      <c r="AB456" s="50"/>
      <c r="AC456" s="50"/>
      <c r="AD456" s="50"/>
      <c r="AE456" s="50"/>
      <c r="AF456" s="50"/>
      <c r="AG456" s="50"/>
    </row>
    <row r="457" spans="28:33" ht="12.5">
      <c r="AB457" s="50"/>
      <c r="AC457" s="50"/>
      <c r="AD457" s="50"/>
      <c r="AE457" s="50"/>
      <c r="AF457" s="50"/>
      <c r="AG457" s="50"/>
    </row>
    <row r="458" spans="28:33" ht="12.5">
      <c r="AB458" s="50"/>
      <c r="AC458" s="50"/>
      <c r="AD458" s="50"/>
      <c r="AE458" s="50"/>
      <c r="AF458" s="50"/>
      <c r="AG458" s="50"/>
    </row>
    <row r="459" spans="28:33" ht="12.5">
      <c r="AB459" s="50"/>
      <c r="AC459" s="50"/>
      <c r="AD459" s="50"/>
      <c r="AE459" s="50"/>
      <c r="AF459" s="50"/>
      <c r="AG459" s="50"/>
    </row>
    <row r="460" spans="28:33" ht="12.5">
      <c r="AB460" s="50"/>
      <c r="AC460" s="50"/>
      <c r="AD460" s="50"/>
      <c r="AE460" s="50"/>
      <c r="AF460" s="50"/>
      <c r="AG460" s="50"/>
    </row>
    <row r="461" spans="28:33" ht="12.5">
      <c r="AB461" s="50"/>
      <c r="AC461" s="50"/>
      <c r="AD461" s="50"/>
      <c r="AE461" s="50"/>
      <c r="AF461" s="50"/>
      <c r="AG461" s="50"/>
    </row>
    <row r="462" spans="28:33" ht="12.5">
      <c r="AB462" s="50"/>
      <c r="AC462" s="50"/>
      <c r="AD462" s="50"/>
      <c r="AE462" s="50"/>
      <c r="AF462" s="50"/>
      <c r="AG462" s="50"/>
    </row>
    <row r="463" spans="28:33" ht="12.5">
      <c r="AB463" s="50"/>
      <c r="AC463" s="50"/>
      <c r="AD463" s="50"/>
      <c r="AE463" s="50"/>
      <c r="AF463" s="50"/>
      <c r="AG463" s="50"/>
    </row>
    <row r="464" spans="28:33" ht="12.5">
      <c r="AB464" s="50"/>
      <c r="AC464" s="50"/>
      <c r="AD464" s="50"/>
      <c r="AE464" s="50"/>
      <c r="AF464" s="50"/>
      <c r="AG464" s="50"/>
    </row>
    <row r="465" spans="28:33" ht="12.5">
      <c r="AB465" s="50"/>
      <c r="AC465" s="50"/>
      <c r="AD465" s="50"/>
      <c r="AE465" s="50"/>
      <c r="AF465" s="50"/>
      <c r="AG465" s="50"/>
    </row>
    <row r="466" spans="28:33" ht="12.5">
      <c r="AB466" s="50"/>
      <c r="AC466" s="50"/>
      <c r="AD466" s="50"/>
      <c r="AE466" s="50"/>
      <c r="AF466" s="50"/>
      <c r="AG466" s="50"/>
    </row>
    <row r="467" spans="28:33" ht="12.5">
      <c r="AB467" s="50"/>
      <c r="AC467" s="50"/>
      <c r="AD467" s="50"/>
      <c r="AE467" s="50"/>
      <c r="AF467" s="50"/>
      <c r="AG467" s="50"/>
    </row>
    <row r="468" spans="28:33" ht="12.5">
      <c r="AB468" s="50"/>
      <c r="AC468" s="50"/>
      <c r="AD468" s="50"/>
      <c r="AE468" s="50"/>
      <c r="AF468" s="50"/>
      <c r="AG468" s="50"/>
    </row>
    <row r="469" spans="28:33" ht="12.5">
      <c r="AB469" s="50"/>
      <c r="AC469" s="50"/>
      <c r="AD469" s="50"/>
      <c r="AE469" s="50"/>
      <c r="AF469" s="50"/>
      <c r="AG469" s="50"/>
    </row>
    <row r="470" spans="28:33" ht="12.5">
      <c r="AB470" s="50"/>
      <c r="AC470" s="50"/>
      <c r="AD470" s="50"/>
      <c r="AE470" s="50"/>
      <c r="AF470" s="50"/>
      <c r="AG470" s="50"/>
    </row>
    <row r="471" spans="28:33" ht="12.5">
      <c r="AB471" s="50"/>
      <c r="AC471" s="50"/>
      <c r="AD471" s="50"/>
      <c r="AE471" s="50"/>
      <c r="AF471" s="50"/>
      <c r="AG471" s="50"/>
    </row>
    <row r="472" spans="28:33" ht="12.5">
      <c r="AB472" s="50"/>
      <c r="AC472" s="50"/>
      <c r="AD472" s="50"/>
      <c r="AE472" s="50"/>
      <c r="AF472" s="50"/>
      <c r="AG472" s="50"/>
    </row>
    <row r="473" spans="28:33" ht="12.5">
      <c r="AB473" s="50"/>
      <c r="AC473" s="50"/>
      <c r="AD473" s="50"/>
      <c r="AE473" s="50"/>
      <c r="AF473" s="50"/>
      <c r="AG473" s="50"/>
    </row>
    <row r="474" spans="28:33" ht="12.5">
      <c r="AB474" s="50"/>
      <c r="AC474" s="50"/>
      <c r="AD474" s="50"/>
      <c r="AE474" s="50"/>
      <c r="AF474" s="50"/>
      <c r="AG474" s="50"/>
    </row>
    <row r="475" spans="28:33" ht="12.5">
      <c r="AB475" s="50"/>
      <c r="AC475" s="50"/>
      <c r="AD475" s="50"/>
      <c r="AE475" s="50"/>
      <c r="AF475" s="50"/>
      <c r="AG475" s="50"/>
    </row>
    <row r="476" spans="28:33" ht="12.5">
      <c r="AB476" s="50"/>
      <c r="AC476" s="50"/>
      <c r="AD476" s="50"/>
      <c r="AE476" s="50"/>
      <c r="AF476" s="50"/>
      <c r="AG476" s="50"/>
    </row>
    <row r="477" spans="28:33" ht="12.5">
      <c r="AB477" s="50"/>
      <c r="AC477" s="50"/>
      <c r="AD477" s="50"/>
      <c r="AE477" s="50"/>
      <c r="AF477" s="50"/>
      <c r="AG477" s="50"/>
    </row>
    <row r="478" spans="28:33" ht="12.5">
      <c r="AB478" s="50"/>
      <c r="AC478" s="50"/>
      <c r="AD478" s="50"/>
      <c r="AE478" s="50"/>
      <c r="AF478" s="50"/>
      <c r="AG478" s="50"/>
    </row>
    <row r="479" spans="28:33" ht="12.5">
      <c r="AB479" s="50"/>
      <c r="AC479" s="50"/>
      <c r="AD479" s="50"/>
      <c r="AE479" s="50"/>
      <c r="AF479" s="50"/>
      <c r="AG479" s="50"/>
    </row>
    <row r="480" spans="28:33" ht="12.5">
      <c r="AB480" s="50"/>
      <c r="AC480" s="50"/>
      <c r="AD480" s="50"/>
      <c r="AE480" s="50"/>
      <c r="AF480" s="50"/>
      <c r="AG480" s="50"/>
    </row>
    <row r="481" spans="28:33" ht="12.5">
      <c r="AB481" s="50"/>
      <c r="AC481" s="50"/>
      <c r="AD481" s="50"/>
      <c r="AE481" s="50"/>
      <c r="AF481" s="50"/>
      <c r="AG481" s="50"/>
    </row>
    <row r="482" spans="28:33" ht="12.5">
      <c r="AB482" s="50"/>
      <c r="AC482" s="50"/>
      <c r="AD482" s="50"/>
      <c r="AE482" s="50"/>
      <c r="AF482" s="50"/>
      <c r="AG482" s="50"/>
    </row>
    <row r="483" spans="28:33" ht="12.5">
      <c r="AB483" s="50"/>
      <c r="AC483" s="50"/>
      <c r="AD483" s="50"/>
      <c r="AE483" s="50"/>
      <c r="AF483" s="50"/>
      <c r="AG483" s="50"/>
    </row>
    <row r="484" spans="28:33" ht="12.5">
      <c r="AB484" s="50"/>
      <c r="AC484" s="50"/>
      <c r="AD484" s="50"/>
      <c r="AE484" s="50"/>
      <c r="AF484" s="50"/>
      <c r="AG484" s="50"/>
    </row>
    <row r="485" spans="28:33" ht="12.5">
      <c r="AB485" s="50"/>
      <c r="AC485" s="50"/>
      <c r="AD485" s="50"/>
      <c r="AE485" s="50"/>
      <c r="AF485" s="50"/>
      <c r="AG485" s="50"/>
    </row>
    <row r="486" spans="28:33" ht="12.5">
      <c r="AB486" s="50"/>
      <c r="AC486" s="50"/>
      <c r="AD486" s="50"/>
      <c r="AE486" s="50"/>
      <c r="AF486" s="50"/>
      <c r="AG486" s="50"/>
    </row>
    <row r="487" spans="28:33" ht="12.5">
      <c r="AB487" s="50"/>
      <c r="AC487" s="50"/>
      <c r="AD487" s="50"/>
      <c r="AE487" s="50"/>
      <c r="AF487" s="50"/>
      <c r="AG487" s="50"/>
    </row>
    <row r="488" spans="28:33" ht="12.5">
      <c r="AB488" s="50"/>
      <c r="AC488" s="50"/>
      <c r="AD488" s="50"/>
      <c r="AE488" s="50"/>
      <c r="AF488" s="50"/>
      <c r="AG488" s="50"/>
    </row>
    <row r="489" spans="28:33" ht="12.5">
      <c r="AB489" s="50"/>
      <c r="AC489" s="50"/>
      <c r="AD489" s="50"/>
      <c r="AE489" s="50"/>
      <c r="AF489" s="50"/>
      <c r="AG489" s="50"/>
    </row>
    <row r="490" spans="28:33" ht="12.5">
      <c r="AB490" s="50"/>
      <c r="AC490" s="50"/>
      <c r="AD490" s="50"/>
      <c r="AE490" s="50"/>
      <c r="AF490" s="50"/>
      <c r="AG490" s="50"/>
    </row>
    <row r="491" spans="28:33" ht="12.5">
      <c r="AB491" s="50"/>
      <c r="AC491" s="50"/>
      <c r="AD491" s="50"/>
      <c r="AE491" s="50"/>
      <c r="AF491" s="50"/>
      <c r="AG491" s="50"/>
    </row>
    <row r="492" spans="28:33" ht="12.5">
      <c r="AB492" s="50"/>
      <c r="AC492" s="50"/>
      <c r="AD492" s="50"/>
      <c r="AE492" s="50"/>
      <c r="AF492" s="50"/>
      <c r="AG492" s="50"/>
    </row>
    <row r="493" spans="28:33" ht="12.5">
      <c r="AB493" s="50"/>
      <c r="AC493" s="50"/>
      <c r="AD493" s="50"/>
      <c r="AE493" s="50"/>
      <c r="AF493" s="50"/>
      <c r="AG493" s="50"/>
    </row>
    <row r="494" spans="28:33" ht="12.5">
      <c r="AB494" s="50"/>
      <c r="AC494" s="50"/>
      <c r="AD494" s="50"/>
      <c r="AE494" s="50"/>
      <c r="AF494" s="50"/>
      <c r="AG494" s="50"/>
    </row>
    <row r="495" spans="28:33" ht="12.5">
      <c r="AB495" s="50"/>
      <c r="AC495" s="50"/>
      <c r="AD495" s="50"/>
      <c r="AE495" s="50"/>
      <c r="AF495" s="50"/>
      <c r="AG495" s="50"/>
    </row>
    <row r="496" spans="28:33" ht="12.5">
      <c r="AB496" s="50"/>
      <c r="AC496" s="50"/>
      <c r="AD496" s="50"/>
      <c r="AE496" s="50"/>
      <c r="AF496" s="50"/>
      <c r="AG496" s="50"/>
    </row>
    <row r="497" spans="28:33" ht="12.5">
      <c r="AB497" s="50"/>
      <c r="AC497" s="50"/>
      <c r="AD497" s="50"/>
      <c r="AE497" s="50"/>
      <c r="AF497" s="50"/>
      <c r="AG497" s="50"/>
    </row>
    <row r="498" spans="28:33" ht="12.5">
      <c r="AB498" s="50"/>
      <c r="AC498" s="50"/>
      <c r="AD498" s="50"/>
      <c r="AE498" s="50"/>
      <c r="AF498" s="50"/>
      <c r="AG498" s="50"/>
    </row>
    <row r="499" spans="28:33" ht="12.5">
      <c r="AB499" s="50"/>
      <c r="AC499" s="50"/>
      <c r="AD499" s="50"/>
      <c r="AE499" s="50"/>
      <c r="AF499" s="50"/>
      <c r="AG499" s="50"/>
    </row>
    <row r="500" spans="28:33" ht="12.5">
      <c r="AB500" s="50"/>
      <c r="AC500" s="50"/>
      <c r="AD500" s="50"/>
      <c r="AE500" s="50"/>
      <c r="AF500" s="50"/>
      <c r="AG500" s="50"/>
    </row>
    <row r="501" spans="28:33" ht="12.5">
      <c r="AB501" s="50"/>
      <c r="AC501" s="50"/>
      <c r="AD501" s="50"/>
      <c r="AE501" s="50"/>
      <c r="AF501" s="50"/>
      <c r="AG501" s="50"/>
    </row>
    <row r="502" spans="28:33" ht="12.5">
      <c r="AB502" s="50"/>
      <c r="AC502" s="50"/>
      <c r="AD502" s="50"/>
      <c r="AE502" s="50"/>
      <c r="AF502" s="50"/>
      <c r="AG502" s="50"/>
    </row>
    <row r="503" spans="28:33" ht="12.5">
      <c r="AB503" s="50"/>
      <c r="AC503" s="50"/>
      <c r="AD503" s="50"/>
      <c r="AE503" s="50"/>
      <c r="AF503" s="50"/>
      <c r="AG503" s="50"/>
    </row>
    <row r="504" spans="28:33" ht="12.5">
      <c r="AB504" s="50"/>
      <c r="AC504" s="50"/>
      <c r="AD504" s="50"/>
      <c r="AE504" s="50"/>
      <c r="AF504" s="50"/>
      <c r="AG504" s="50"/>
    </row>
    <row r="505" spans="28:33" ht="12.5">
      <c r="AB505" s="50"/>
      <c r="AC505" s="50"/>
      <c r="AD505" s="50"/>
      <c r="AE505" s="50"/>
      <c r="AF505" s="50"/>
      <c r="AG505" s="50"/>
    </row>
    <row r="506" spans="28:33" ht="12.5">
      <c r="AB506" s="50"/>
      <c r="AC506" s="50"/>
      <c r="AD506" s="50"/>
      <c r="AE506" s="50"/>
      <c r="AF506" s="50"/>
      <c r="AG506" s="50"/>
    </row>
    <row r="507" spans="28:33" ht="12.5">
      <c r="AB507" s="50"/>
      <c r="AC507" s="50"/>
      <c r="AD507" s="50"/>
      <c r="AE507" s="50"/>
      <c r="AF507" s="50"/>
      <c r="AG507" s="50"/>
    </row>
    <row r="508" spans="28:33" ht="12.5">
      <c r="AB508" s="50"/>
      <c r="AC508" s="50"/>
      <c r="AD508" s="50"/>
      <c r="AE508" s="50"/>
      <c r="AF508" s="50"/>
      <c r="AG508" s="50"/>
    </row>
    <row r="509" spans="28:33" ht="12.5">
      <c r="AB509" s="50"/>
      <c r="AC509" s="50"/>
      <c r="AD509" s="50"/>
      <c r="AE509" s="50"/>
      <c r="AF509" s="50"/>
      <c r="AG509" s="50"/>
    </row>
    <row r="510" spans="28:33" ht="12.5">
      <c r="AB510" s="50"/>
      <c r="AC510" s="50"/>
      <c r="AD510" s="50"/>
      <c r="AE510" s="50"/>
      <c r="AF510" s="50"/>
      <c r="AG510" s="50"/>
    </row>
    <row r="511" spans="28:33" ht="12.5">
      <c r="AB511" s="50"/>
      <c r="AC511" s="50"/>
      <c r="AD511" s="50"/>
      <c r="AE511" s="50"/>
      <c r="AF511" s="50"/>
      <c r="AG511" s="50"/>
    </row>
    <row r="512" spans="28:33" ht="12.5">
      <c r="AB512" s="50"/>
      <c r="AC512" s="50"/>
      <c r="AD512" s="50"/>
      <c r="AE512" s="50"/>
      <c r="AF512" s="50"/>
      <c r="AG512" s="50"/>
    </row>
    <row r="513" spans="28:33" ht="12.5">
      <c r="AB513" s="50"/>
      <c r="AC513" s="50"/>
      <c r="AD513" s="50"/>
      <c r="AE513" s="50"/>
      <c r="AF513" s="50"/>
      <c r="AG513" s="50"/>
    </row>
    <row r="514" spans="28:33" ht="12.5">
      <c r="AB514" s="50"/>
      <c r="AC514" s="50"/>
      <c r="AD514" s="50"/>
      <c r="AE514" s="50"/>
      <c r="AF514" s="50"/>
      <c r="AG514" s="50"/>
    </row>
    <row r="515" spans="28:33" ht="12.5">
      <c r="AB515" s="50"/>
      <c r="AC515" s="50"/>
      <c r="AD515" s="50"/>
      <c r="AE515" s="50"/>
      <c r="AF515" s="50"/>
      <c r="AG515" s="50"/>
    </row>
    <row r="516" spans="28:33" ht="12.5">
      <c r="AB516" s="50"/>
      <c r="AC516" s="50"/>
      <c r="AD516" s="50"/>
      <c r="AE516" s="50"/>
      <c r="AF516" s="50"/>
      <c r="AG516" s="50"/>
    </row>
    <row r="517" spans="28:33" ht="12.5">
      <c r="AB517" s="50"/>
      <c r="AC517" s="50"/>
      <c r="AD517" s="50"/>
      <c r="AE517" s="50"/>
      <c r="AF517" s="50"/>
      <c r="AG517" s="50"/>
    </row>
    <row r="518" spans="28:33" ht="12.5">
      <c r="AB518" s="50"/>
      <c r="AC518" s="50"/>
      <c r="AD518" s="50"/>
      <c r="AE518" s="50"/>
      <c r="AF518" s="50"/>
      <c r="AG518" s="50"/>
    </row>
    <row r="519" spans="28:33" ht="12.5">
      <c r="AB519" s="50"/>
      <c r="AC519" s="50"/>
      <c r="AD519" s="50"/>
      <c r="AE519" s="50"/>
      <c r="AF519" s="50"/>
      <c r="AG519" s="50"/>
    </row>
    <row r="520" spans="28:33" ht="12.5">
      <c r="AB520" s="50"/>
      <c r="AC520" s="50"/>
      <c r="AD520" s="50"/>
      <c r="AE520" s="50"/>
      <c r="AF520" s="50"/>
      <c r="AG520" s="50"/>
    </row>
    <row r="521" spans="28:33" ht="12.5">
      <c r="AB521" s="50"/>
      <c r="AC521" s="50"/>
      <c r="AD521" s="50"/>
      <c r="AE521" s="50"/>
      <c r="AF521" s="50"/>
      <c r="AG521" s="50"/>
    </row>
    <row r="522" spans="28:33" ht="12.5">
      <c r="AB522" s="50"/>
      <c r="AC522" s="50"/>
      <c r="AD522" s="50"/>
      <c r="AE522" s="50"/>
      <c r="AF522" s="50"/>
      <c r="AG522" s="50"/>
    </row>
    <row r="523" spans="28:33" ht="12.5">
      <c r="AB523" s="50"/>
      <c r="AC523" s="50"/>
      <c r="AD523" s="50"/>
      <c r="AE523" s="50"/>
      <c r="AF523" s="50"/>
      <c r="AG523" s="50"/>
    </row>
    <row r="524" spans="28:33" ht="12.5">
      <c r="AB524" s="50"/>
      <c r="AC524" s="50"/>
      <c r="AD524" s="50"/>
      <c r="AE524" s="50"/>
      <c r="AF524" s="50"/>
      <c r="AG524" s="50"/>
    </row>
    <row r="525" spans="28:33" ht="12.5">
      <c r="AB525" s="50"/>
      <c r="AC525" s="50"/>
      <c r="AD525" s="50"/>
      <c r="AE525" s="50"/>
      <c r="AF525" s="50"/>
      <c r="AG525" s="50"/>
    </row>
    <row r="526" spans="28:33" ht="12.5">
      <c r="AB526" s="50"/>
      <c r="AC526" s="50"/>
      <c r="AD526" s="50"/>
      <c r="AE526" s="50"/>
      <c r="AF526" s="50"/>
      <c r="AG526" s="50"/>
    </row>
    <row r="527" spans="28:33" ht="12.5">
      <c r="AB527" s="50"/>
      <c r="AC527" s="50"/>
      <c r="AD527" s="50"/>
      <c r="AE527" s="50"/>
      <c r="AF527" s="50"/>
      <c r="AG527" s="50"/>
    </row>
    <row r="528" spans="28:33" ht="12.5">
      <c r="AB528" s="50"/>
      <c r="AC528" s="50"/>
      <c r="AD528" s="50"/>
      <c r="AE528" s="50"/>
      <c r="AF528" s="50"/>
      <c r="AG528" s="50"/>
    </row>
    <row r="529" spans="28:33" ht="12.5">
      <c r="AB529" s="50"/>
      <c r="AC529" s="50"/>
      <c r="AD529" s="50"/>
      <c r="AE529" s="50"/>
      <c r="AF529" s="50"/>
      <c r="AG529" s="50"/>
    </row>
    <row r="530" spans="28:33" ht="12.5">
      <c r="AB530" s="50"/>
      <c r="AC530" s="50"/>
      <c r="AD530" s="50"/>
      <c r="AE530" s="50"/>
      <c r="AF530" s="50"/>
      <c r="AG530" s="50"/>
    </row>
    <row r="531" spans="28:33" ht="12.5">
      <c r="AB531" s="50"/>
      <c r="AC531" s="50"/>
      <c r="AD531" s="50"/>
      <c r="AE531" s="50"/>
      <c r="AF531" s="50"/>
      <c r="AG531" s="50"/>
    </row>
    <row r="532" spans="28:33" ht="12.5">
      <c r="AB532" s="50"/>
      <c r="AC532" s="50"/>
      <c r="AD532" s="50"/>
      <c r="AE532" s="50"/>
      <c r="AF532" s="50"/>
      <c r="AG532" s="50"/>
    </row>
    <row r="533" spans="28:33" ht="12.5">
      <c r="AB533" s="50"/>
      <c r="AC533" s="50"/>
      <c r="AD533" s="50"/>
      <c r="AE533" s="50"/>
      <c r="AF533" s="50"/>
      <c r="AG533" s="50"/>
    </row>
    <row r="534" spans="28:33" ht="12.5">
      <c r="AB534" s="50"/>
      <c r="AC534" s="50"/>
      <c r="AD534" s="50"/>
      <c r="AE534" s="50"/>
      <c r="AF534" s="50"/>
      <c r="AG534" s="50"/>
    </row>
    <row r="535" spans="28:33" ht="12.5">
      <c r="AB535" s="50"/>
      <c r="AC535" s="50"/>
      <c r="AD535" s="50"/>
      <c r="AE535" s="50"/>
      <c r="AF535" s="50"/>
      <c r="AG535" s="50"/>
    </row>
    <row r="536" spans="28:33" ht="12.5">
      <c r="AB536" s="50"/>
      <c r="AC536" s="50"/>
      <c r="AD536" s="50"/>
      <c r="AE536" s="50"/>
      <c r="AF536" s="50"/>
      <c r="AG536" s="50"/>
    </row>
    <row r="537" spans="28:33" ht="12.5">
      <c r="AB537" s="50"/>
      <c r="AC537" s="50"/>
      <c r="AD537" s="50"/>
      <c r="AE537" s="50"/>
      <c r="AF537" s="50"/>
      <c r="AG537" s="50"/>
    </row>
    <row r="538" spans="28:33" ht="12.5">
      <c r="AB538" s="50"/>
      <c r="AC538" s="50"/>
      <c r="AD538" s="50"/>
      <c r="AE538" s="50"/>
      <c r="AF538" s="50"/>
      <c r="AG538" s="50"/>
    </row>
    <row r="539" spans="28:33" ht="12.5">
      <c r="AB539" s="50"/>
      <c r="AC539" s="50"/>
      <c r="AD539" s="50"/>
      <c r="AE539" s="50"/>
      <c r="AF539" s="50"/>
      <c r="AG539" s="50"/>
    </row>
    <row r="540" spans="28:33" ht="12.5">
      <c r="AB540" s="50"/>
      <c r="AC540" s="50"/>
      <c r="AD540" s="50"/>
      <c r="AE540" s="50"/>
      <c r="AF540" s="50"/>
      <c r="AG540" s="50"/>
    </row>
    <row r="541" spans="28:33" ht="12.5">
      <c r="AB541" s="50"/>
      <c r="AC541" s="50"/>
      <c r="AD541" s="50"/>
      <c r="AE541" s="50"/>
      <c r="AF541" s="50"/>
      <c r="AG541" s="50"/>
    </row>
    <row r="542" spans="28:33" ht="12.5">
      <c r="AB542" s="50"/>
      <c r="AC542" s="50"/>
      <c r="AD542" s="50"/>
      <c r="AE542" s="50"/>
      <c r="AF542" s="50"/>
      <c r="AG542" s="50"/>
    </row>
    <row r="543" spans="28:33" ht="12.5">
      <c r="AB543" s="50"/>
      <c r="AC543" s="50"/>
      <c r="AD543" s="50"/>
      <c r="AE543" s="50"/>
      <c r="AF543" s="50"/>
      <c r="AG543" s="50"/>
    </row>
    <row r="544" spans="28:33" ht="12.5">
      <c r="AB544" s="50"/>
      <c r="AC544" s="50"/>
      <c r="AD544" s="50"/>
      <c r="AE544" s="50"/>
      <c r="AF544" s="50"/>
      <c r="AG544" s="50"/>
    </row>
    <row r="545" spans="28:33" ht="12.5">
      <c r="AB545" s="50"/>
      <c r="AC545" s="50"/>
      <c r="AD545" s="50"/>
      <c r="AE545" s="50"/>
      <c r="AF545" s="50"/>
      <c r="AG545" s="50"/>
    </row>
    <row r="546" spans="28:33" ht="12.5">
      <c r="AB546" s="50"/>
      <c r="AC546" s="50"/>
      <c r="AD546" s="50"/>
      <c r="AE546" s="50"/>
      <c r="AF546" s="50"/>
      <c r="AG546" s="50"/>
    </row>
    <row r="547" spans="28:33" ht="12.5">
      <c r="AB547" s="50"/>
      <c r="AC547" s="50"/>
      <c r="AD547" s="50"/>
      <c r="AE547" s="50"/>
      <c r="AF547" s="50"/>
      <c r="AG547" s="50"/>
    </row>
    <row r="548" spans="28:33" ht="12.5">
      <c r="AB548" s="50"/>
      <c r="AC548" s="50"/>
      <c r="AD548" s="50"/>
      <c r="AE548" s="50"/>
      <c r="AF548" s="50"/>
      <c r="AG548" s="50"/>
    </row>
    <row r="549" spans="28:33" ht="12.5">
      <c r="AB549" s="50"/>
      <c r="AC549" s="50"/>
      <c r="AD549" s="50"/>
      <c r="AE549" s="50"/>
      <c r="AF549" s="50"/>
      <c r="AG549" s="50"/>
    </row>
    <row r="550" spans="28:33" ht="12.5">
      <c r="AB550" s="50"/>
      <c r="AC550" s="50"/>
      <c r="AD550" s="50"/>
      <c r="AE550" s="50"/>
      <c r="AF550" s="50"/>
      <c r="AG550" s="50"/>
    </row>
    <row r="551" spans="28:33" ht="12.5">
      <c r="AB551" s="50"/>
      <c r="AC551" s="50"/>
      <c r="AD551" s="50"/>
      <c r="AE551" s="50"/>
      <c r="AF551" s="50"/>
      <c r="AG551" s="50"/>
    </row>
    <row r="552" spans="28:33" ht="12.5">
      <c r="AB552" s="50"/>
      <c r="AC552" s="50"/>
      <c r="AD552" s="50"/>
      <c r="AE552" s="50"/>
      <c r="AF552" s="50"/>
      <c r="AG552" s="50"/>
    </row>
    <row r="553" spans="28:33" ht="12.5">
      <c r="AB553" s="50"/>
      <c r="AC553" s="50"/>
      <c r="AD553" s="50"/>
      <c r="AE553" s="50"/>
      <c r="AF553" s="50"/>
      <c r="AG553" s="50"/>
    </row>
    <row r="554" spans="28:33" ht="12.5">
      <c r="AB554" s="50"/>
      <c r="AC554" s="50"/>
      <c r="AD554" s="50"/>
      <c r="AE554" s="50"/>
      <c r="AF554" s="50"/>
      <c r="AG554" s="50"/>
    </row>
    <row r="555" spans="28:33" ht="12.5">
      <c r="AB555" s="50"/>
      <c r="AC555" s="50"/>
      <c r="AD555" s="50"/>
      <c r="AE555" s="50"/>
      <c r="AF555" s="50"/>
      <c r="AG555" s="50"/>
    </row>
    <row r="556" spans="28:33" ht="12.5">
      <c r="AB556" s="50"/>
      <c r="AC556" s="50"/>
      <c r="AD556" s="50"/>
      <c r="AE556" s="50"/>
      <c r="AF556" s="50"/>
      <c r="AG556" s="50"/>
    </row>
    <row r="557" spans="28:33" ht="12.5">
      <c r="AB557" s="50"/>
      <c r="AC557" s="50"/>
      <c r="AD557" s="50"/>
      <c r="AE557" s="50"/>
      <c r="AF557" s="50"/>
      <c r="AG557" s="50"/>
    </row>
    <row r="558" spans="28:33" ht="12.5">
      <c r="AB558" s="50"/>
      <c r="AC558" s="50"/>
      <c r="AD558" s="50"/>
      <c r="AE558" s="50"/>
      <c r="AF558" s="50"/>
      <c r="AG558" s="50"/>
    </row>
    <row r="559" spans="28:33" ht="12.5">
      <c r="AB559" s="50"/>
      <c r="AC559" s="50"/>
      <c r="AD559" s="50"/>
      <c r="AE559" s="50"/>
      <c r="AF559" s="50"/>
      <c r="AG559" s="50"/>
    </row>
    <row r="560" spans="28:33" ht="12.5">
      <c r="AB560" s="50"/>
      <c r="AC560" s="50"/>
      <c r="AD560" s="50"/>
      <c r="AE560" s="50"/>
      <c r="AF560" s="50"/>
      <c r="AG560" s="50"/>
    </row>
    <row r="561" spans="28:33" ht="12.5">
      <c r="AB561" s="50"/>
      <c r="AC561" s="50"/>
      <c r="AD561" s="50"/>
      <c r="AE561" s="50"/>
      <c r="AF561" s="50"/>
      <c r="AG561" s="50"/>
    </row>
    <row r="562" spans="28:33" ht="12.5">
      <c r="AB562" s="50"/>
      <c r="AC562" s="50"/>
      <c r="AD562" s="50"/>
      <c r="AE562" s="50"/>
      <c r="AF562" s="50"/>
      <c r="AG562" s="50"/>
    </row>
    <row r="563" spans="28:33" ht="12.5">
      <c r="AB563" s="50"/>
      <c r="AC563" s="50"/>
      <c r="AD563" s="50"/>
      <c r="AE563" s="50"/>
      <c r="AF563" s="50"/>
      <c r="AG563" s="50"/>
    </row>
    <row r="564" spans="28:33" ht="12.5">
      <c r="AB564" s="50"/>
      <c r="AC564" s="50"/>
      <c r="AD564" s="50"/>
      <c r="AE564" s="50"/>
      <c r="AF564" s="50"/>
      <c r="AG564" s="50"/>
    </row>
    <row r="565" spans="28:33" ht="12.5">
      <c r="AB565" s="50"/>
      <c r="AC565" s="50"/>
      <c r="AD565" s="50"/>
      <c r="AE565" s="50"/>
      <c r="AF565" s="50"/>
      <c r="AG565" s="50"/>
    </row>
    <row r="566" spans="28:33" ht="12.5">
      <c r="AB566" s="50"/>
      <c r="AC566" s="50"/>
      <c r="AD566" s="50"/>
      <c r="AE566" s="50"/>
      <c r="AF566" s="50"/>
      <c r="AG566" s="50"/>
    </row>
    <row r="567" spans="28:33" ht="12.5">
      <c r="AB567" s="50"/>
      <c r="AC567" s="50"/>
      <c r="AD567" s="50"/>
      <c r="AE567" s="50"/>
      <c r="AF567" s="50"/>
      <c r="AG567" s="50"/>
    </row>
    <row r="568" spans="28:33" ht="12.5">
      <c r="AB568" s="50"/>
      <c r="AC568" s="50"/>
      <c r="AD568" s="50"/>
      <c r="AE568" s="50"/>
      <c r="AF568" s="50"/>
      <c r="AG568" s="50"/>
    </row>
    <row r="569" spans="28:33" ht="12.5">
      <c r="AB569" s="50"/>
      <c r="AC569" s="50"/>
      <c r="AD569" s="50"/>
      <c r="AE569" s="50"/>
      <c r="AF569" s="50"/>
      <c r="AG569" s="50"/>
    </row>
    <row r="570" spans="28:33" ht="12.5">
      <c r="AB570" s="50"/>
      <c r="AC570" s="50"/>
      <c r="AD570" s="50"/>
      <c r="AE570" s="50"/>
      <c r="AF570" s="50"/>
      <c r="AG570" s="50"/>
    </row>
    <row r="571" spans="28:33" ht="12.5">
      <c r="AB571" s="50"/>
      <c r="AC571" s="50"/>
      <c r="AD571" s="50"/>
      <c r="AE571" s="50"/>
      <c r="AF571" s="50"/>
      <c r="AG571" s="50"/>
    </row>
    <row r="572" spans="28:33" ht="12.5">
      <c r="AB572" s="50"/>
      <c r="AC572" s="50"/>
      <c r="AD572" s="50"/>
      <c r="AE572" s="50"/>
      <c r="AF572" s="50"/>
      <c r="AG572" s="50"/>
    </row>
    <row r="573" spans="28:33" ht="12.5">
      <c r="AB573" s="50"/>
      <c r="AC573" s="50"/>
      <c r="AD573" s="50"/>
      <c r="AE573" s="50"/>
      <c r="AF573" s="50"/>
      <c r="AG573" s="50"/>
    </row>
    <row r="574" spans="28:33" ht="12.5">
      <c r="AB574" s="50"/>
      <c r="AC574" s="50"/>
      <c r="AD574" s="50"/>
      <c r="AE574" s="50"/>
      <c r="AF574" s="50"/>
      <c r="AG574" s="50"/>
    </row>
    <row r="575" spans="28:33" ht="12.5">
      <c r="AB575" s="50"/>
      <c r="AC575" s="50"/>
      <c r="AD575" s="50"/>
      <c r="AE575" s="50"/>
      <c r="AF575" s="50"/>
      <c r="AG575" s="50"/>
    </row>
    <row r="576" spans="28:33" ht="12.5">
      <c r="AB576" s="50"/>
      <c r="AC576" s="50"/>
      <c r="AD576" s="50"/>
      <c r="AE576" s="50"/>
      <c r="AF576" s="50"/>
      <c r="AG576" s="50"/>
    </row>
    <row r="577" spans="28:33" ht="12.5">
      <c r="AB577" s="50"/>
      <c r="AC577" s="50"/>
      <c r="AD577" s="50"/>
      <c r="AE577" s="50"/>
      <c r="AF577" s="50"/>
      <c r="AG577" s="50"/>
    </row>
    <row r="578" spans="28:33" ht="12.5">
      <c r="AB578" s="50"/>
      <c r="AC578" s="50"/>
      <c r="AD578" s="50"/>
      <c r="AE578" s="50"/>
      <c r="AF578" s="50"/>
      <c r="AG578" s="50"/>
    </row>
    <row r="579" spans="28:33" ht="12.5">
      <c r="AB579" s="50"/>
      <c r="AC579" s="50"/>
      <c r="AD579" s="50"/>
      <c r="AE579" s="50"/>
      <c r="AF579" s="50"/>
      <c r="AG579" s="50"/>
    </row>
    <row r="580" spans="28:33" ht="12.5">
      <c r="AB580" s="50"/>
      <c r="AC580" s="50"/>
      <c r="AD580" s="50"/>
      <c r="AE580" s="50"/>
      <c r="AF580" s="50"/>
      <c r="AG580" s="50"/>
    </row>
    <row r="581" spans="28:33" ht="12.5">
      <c r="AB581" s="50"/>
      <c r="AC581" s="50"/>
      <c r="AD581" s="50"/>
      <c r="AE581" s="50"/>
      <c r="AF581" s="50"/>
      <c r="AG581" s="50"/>
    </row>
    <row r="582" spans="28:33" ht="12.5">
      <c r="AB582" s="50"/>
      <c r="AC582" s="50"/>
      <c r="AD582" s="50"/>
      <c r="AE582" s="50"/>
      <c r="AF582" s="50"/>
      <c r="AG582" s="50"/>
    </row>
    <row r="583" spans="28:33" ht="12.5">
      <c r="AB583" s="50"/>
      <c r="AC583" s="50"/>
      <c r="AD583" s="50"/>
      <c r="AE583" s="50"/>
      <c r="AF583" s="50"/>
      <c r="AG583" s="50"/>
    </row>
    <row r="584" spans="28:33" ht="12.5">
      <c r="AB584" s="50"/>
      <c r="AC584" s="50"/>
      <c r="AD584" s="50"/>
      <c r="AE584" s="50"/>
      <c r="AF584" s="50"/>
      <c r="AG584" s="50"/>
    </row>
    <row r="585" spans="28:33" ht="12.5">
      <c r="AB585" s="50"/>
      <c r="AC585" s="50"/>
      <c r="AD585" s="50"/>
      <c r="AE585" s="50"/>
      <c r="AF585" s="50"/>
      <c r="AG585" s="50"/>
    </row>
    <row r="586" spans="28:33" ht="12.5">
      <c r="AB586" s="50"/>
      <c r="AC586" s="50"/>
      <c r="AD586" s="50"/>
      <c r="AE586" s="50"/>
      <c r="AF586" s="50"/>
      <c r="AG586" s="50"/>
    </row>
    <row r="587" spans="28:33" ht="12.5">
      <c r="AB587" s="50"/>
      <c r="AC587" s="50"/>
      <c r="AD587" s="50"/>
      <c r="AE587" s="50"/>
      <c r="AF587" s="50"/>
      <c r="AG587" s="50"/>
    </row>
    <row r="588" spans="28:33" ht="12.5">
      <c r="AB588" s="50"/>
      <c r="AC588" s="50"/>
      <c r="AD588" s="50"/>
      <c r="AE588" s="50"/>
      <c r="AF588" s="50"/>
      <c r="AG588" s="50"/>
    </row>
    <row r="589" spans="28:33" ht="12.5">
      <c r="AB589" s="50"/>
      <c r="AC589" s="50"/>
      <c r="AD589" s="50"/>
      <c r="AE589" s="50"/>
      <c r="AF589" s="50"/>
      <c r="AG589" s="50"/>
    </row>
    <row r="590" spans="28:33" ht="12.5">
      <c r="AB590" s="50"/>
      <c r="AC590" s="50"/>
      <c r="AD590" s="50"/>
      <c r="AE590" s="50"/>
      <c r="AF590" s="50"/>
      <c r="AG590" s="50"/>
    </row>
    <row r="591" spans="28:33" ht="12.5">
      <c r="AB591" s="50"/>
      <c r="AC591" s="50"/>
      <c r="AD591" s="50"/>
      <c r="AE591" s="50"/>
      <c r="AF591" s="50"/>
      <c r="AG591" s="50"/>
    </row>
    <row r="592" spans="28:33" ht="12.5">
      <c r="AB592" s="50"/>
      <c r="AC592" s="50"/>
      <c r="AD592" s="50"/>
      <c r="AE592" s="50"/>
      <c r="AF592" s="50"/>
      <c r="AG592" s="50"/>
    </row>
    <row r="593" spans="28:33" ht="12.5">
      <c r="AB593" s="50"/>
      <c r="AC593" s="50"/>
      <c r="AD593" s="50"/>
      <c r="AE593" s="50"/>
      <c r="AF593" s="50"/>
      <c r="AG593" s="50"/>
    </row>
    <row r="594" spans="28:33" ht="12.5">
      <c r="AB594" s="50"/>
      <c r="AC594" s="50"/>
      <c r="AD594" s="50"/>
      <c r="AE594" s="50"/>
      <c r="AF594" s="50"/>
      <c r="AG594" s="50"/>
    </row>
    <row r="595" spans="28:33" ht="12.5">
      <c r="AB595" s="50"/>
      <c r="AC595" s="50"/>
      <c r="AD595" s="50"/>
      <c r="AE595" s="50"/>
      <c r="AF595" s="50"/>
      <c r="AG595" s="50"/>
    </row>
    <row r="596" spans="28:33" ht="12.5">
      <c r="AB596" s="50"/>
      <c r="AC596" s="50"/>
      <c r="AD596" s="50"/>
      <c r="AE596" s="50"/>
      <c r="AF596" s="50"/>
      <c r="AG596" s="50"/>
    </row>
    <row r="597" spans="28:33" ht="12.5">
      <c r="AB597" s="50"/>
      <c r="AC597" s="50"/>
      <c r="AD597" s="50"/>
      <c r="AE597" s="50"/>
      <c r="AF597" s="50"/>
      <c r="AG597" s="50"/>
    </row>
    <row r="598" spans="28:33" ht="12.5">
      <c r="AB598" s="50"/>
      <c r="AC598" s="50"/>
      <c r="AD598" s="50"/>
      <c r="AE598" s="50"/>
      <c r="AF598" s="50"/>
      <c r="AG598" s="50"/>
    </row>
    <row r="599" spans="28:33" ht="12.5">
      <c r="AB599" s="50"/>
      <c r="AC599" s="50"/>
      <c r="AD599" s="50"/>
      <c r="AE599" s="50"/>
      <c r="AF599" s="50"/>
      <c r="AG599" s="50"/>
    </row>
    <row r="600" spans="28:33" ht="12.5">
      <c r="AB600" s="50"/>
      <c r="AC600" s="50"/>
      <c r="AD600" s="50"/>
      <c r="AE600" s="50"/>
      <c r="AF600" s="50"/>
      <c r="AG600" s="50"/>
    </row>
    <row r="601" spans="28:33" ht="12.5">
      <c r="AB601" s="50"/>
      <c r="AC601" s="50"/>
      <c r="AD601" s="50"/>
      <c r="AE601" s="50"/>
      <c r="AF601" s="50"/>
      <c r="AG601" s="50"/>
    </row>
    <row r="602" spans="28:33" ht="12.5">
      <c r="AB602" s="50"/>
      <c r="AC602" s="50"/>
      <c r="AD602" s="50"/>
      <c r="AE602" s="50"/>
      <c r="AF602" s="50"/>
      <c r="AG602" s="50"/>
    </row>
    <row r="603" spans="28:33" ht="12.5">
      <c r="AB603" s="50"/>
      <c r="AC603" s="50"/>
      <c r="AD603" s="50"/>
      <c r="AE603" s="50"/>
      <c r="AF603" s="50"/>
      <c r="AG603" s="50"/>
    </row>
    <row r="604" spans="28:33" ht="12.5">
      <c r="AB604" s="50"/>
      <c r="AC604" s="50"/>
      <c r="AD604" s="50"/>
      <c r="AE604" s="50"/>
      <c r="AF604" s="50"/>
      <c r="AG604" s="50"/>
    </row>
    <row r="605" spans="28:33" ht="12.5">
      <c r="AB605" s="50"/>
      <c r="AC605" s="50"/>
      <c r="AD605" s="50"/>
      <c r="AE605" s="50"/>
      <c r="AF605" s="50"/>
      <c r="AG605" s="50"/>
    </row>
    <row r="606" spans="28:33" ht="12.5">
      <c r="AB606" s="50"/>
      <c r="AC606" s="50"/>
      <c r="AD606" s="50"/>
      <c r="AE606" s="50"/>
      <c r="AF606" s="50"/>
      <c r="AG606" s="50"/>
    </row>
    <row r="607" spans="28:33" ht="12.5">
      <c r="AB607" s="50"/>
      <c r="AC607" s="50"/>
      <c r="AD607" s="50"/>
      <c r="AE607" s="50"/>
      <c r="AF607" s="50"/>
      <c r="AG607" s="50"/>
    </row>
    <row r="608" spans="28:33" ht="12.5">
      <c r="AB608" s="50"/>
      <c r="AC608" s="50"/>
      <c r="AD608" s="50"/>
      <c r="AE608" s="50"/>
      <c r="AF608" s="50"/>
      <c r="AG608" s="50"/>
    </row>
    <row r="609" spans="28:33" ht="12.5">
      <c r="AB609" s="50"/>
      <c r="AC609" s="50"/>
      <c r="AD609" s="50"/>
      <c r="AE609" s="50"/>
      <c r="AF609" s="50"/>
      <c r="AG609" s="50"/>
    </row>
    <row r="610" spans="28:33" ht="12.5">
      <c r="AB610" s="50"/>
      <c r="AC610" s="50"/>
      <c r="AD610" s="50"/>
      <c r="AE610" s="50"/>
      <c r="AF610" s="50"/>
      <c r="AG610" s="50"/>
    </row>
    <row r="611" spans="28:33" ht="12.5">
      <c r="AB611" s="50"/>
      <c r="AC611" s="50"/>
      <c r="AD611" s="50"/>
      <c r="AE611" s="50"/>
      <c r="AF611" s="50"/>
      <c r="AG611" s="50"/>
    </row>
    <row r="612" spans="28:33" ht="12.5">
      <c r="AB612" s="50"/>
      <c r="AC612" s="50"/>
      <c r="AD612" s="50"/>
      <c r="AE612" s="50"/>
      <c r="AF612" s="50"/>
      <c r="AG612" s="50"/>
    </row>
    <row r="613" spans="28:33" ht="12.5">
      <c r="AB613" s="50"/>
      <c r="AC613" s="50"/>
      <c r="AD613" s="50"/>
      <c r="AE613" s="50"/>
      <c r="AF613" s="50"/>
      <c r="AG613" s="50"/>
    </row>
    <row r="614" spans="28:33" ht="12.5">
      <c r="AB614" s="50"/>
      <c r="AC614" s="50"/>
      <c r="AD614" s="50"/>
      <c r="AE614" s="50"/>
      <c r="AF614" s="50"/>
      <c r="AG614" s="50"/>
    </row>
    <row r="615" spans="28:33" ht="12.5">
      <c r="AB615" s="50"/>
      <c r="AC615" s="50"/>
      <c r="AD615" s="50"/>
      <c r="AE615" s="50"/>
      <c r="AF615" s="50"/>
      <c r="AG615" s="50"/>
    </row>
    <row r="616" spans="28:33" ht="12.5">
      <c r="AB616" s="50"/>
      <c r="AC616" s="50"/>
      <c r="AD616" s="50"/>
      <c r="AE616" s="50"/>
      <c r="AF616" s="50"/>
      <c r="AG616" s="50"/>
    </row>
    <row r="617" spans="28:33" ht="12.5">
      <c r="AB617" s="50"/>
      <c r="AC617" s="50"/>
      <c r="AD617" s="50"/>
      <c r="AE617" s="50"/>
      <c r="AF617" s="50"/>
      <c r="AG617" s="50"/>
    </row>
    <row r="618" spans="28:33" ht="12.5">
      <c r="AB618" s="50"/>
      <c r="AC618" s="50"/>
      <c r="AD618" s="50"/>
      <c r="AE618" s="50"/>
      <c r="AF618" s="50"/>
      <c r="AG618" s="50"/>
    </row>
    <row r="619" spans="28:33" ht="12.5">
      <c r="AB619" s="50"/>
      <c r="AC619" s="50"/>
      <c r="AD619" s="50"/>
      <c r="AE619" s="50"/>
      <c r="AF619" s="50"/>
      <c r="AG619" s="50"/>
    </row>
    <row r="620" spans="28:33" ht="12.5">
      <c r="AB620" s="50"/>
      <c r="AC620" s="50"/>
      <c r="AD620" s="50"/>
      <c r="AE620" s="50"/>
      <c r="AF620" s="50"/>
      <c r="AG620" s="50"/>
    </row>
    <row r="621" spans="28:33" ht="12.5">
      <c r="AB621" s="50"/>
      <c r="AC621" s="50"/>
      <c r="AD621" s="50"/>
      <c r="AE621" s="50"/>
      <c r="AF621" s="50"/>
      <c r="AG621" s="50"/>
    </row>
    <row r="622" spans="28:33" ht="12.5">
      <c r="AB622" s="50"/>
      <c r="AC622" s="50"/>
      <c r="AD622" s="50"/>
      <c r="AE622" s="50"/>
      <c r="AF622" s="50"/>
      <c r="AG622" s="50"/>
    </row>
    <row r="623" spans="28:33" ht="12.5">
      <c r="AB623" s="50"/>
      <c r="AC623" s="50"/>
      <c r="AD623" s="50"/>
      <c r="AE623" s="50"/>
      <c r="AF623" s="50"/>
      <c r="AG623" s="50"/>
    </row>
    <row r="624" spans="28:33" ht="12.5">
      <c r="AB624" s="50"/>
      <c r="AC624" s="50"/>
      <c r="AD624" s="50"/>
      <c r="AE624" s="50"/>
      <c r="AF624" s="50"/>
      <c r="AG624" s="50"/>
    </row>
    <row r="625" spans="28:33" ht="12.5">
      <c r="AB625" s="50"/>
      <c r="AC625" s="50"/>
      <c r="AD625" s="50"/>
      <c r="AE625" s="50"/>
      <c r="AF625" s="50"/>
      <c r="AG625" s="50"/>
    </row>
    <row r="626" spans="28:33" ht="12.5">
      <c r="AB626" s="50"/>
      <c r="AC626" s="50"/>
      <c r="AD626" s="50"/>
      <c r="AE626" s="50"/>
      <c r="AF626" s="50"/>
      <c r="AG626" s="50"/>
    </row>
    <row r="627" spans="28:33" ht="12.5">
      <c r="AB627" s="50"/>
      <c r="AC627" s="50"/>
      <c r="AD627" s="50"/>
      <c r="AE627" s="50"/>
      <c r="AF627" s="50"/>
      <c r="AG627" s="50"/>
    </row>
    <row r="628" spans="28:33" ht="12.5">
      <c r="AB628" s="50"/>
      <c r="AC628" s="50"/>
      <c r="AD628" s="50"/>
      <c r="AE628" s="50"/>
      <c r="AF628" s="50"/>
      <c r="AG628" s="50"/>
    </row>
    <row r="629" spans="28:33" ht="12.5">
      <c r="AB629" s="50"/>
      <c r="AC629" s="50"/>
      <c r="AD629" s="50"/>
      <c r="AE629" s="50"/>
      <c r="AF629" s="50"/>
      <c r="AG629" s="50"/>
    </row>
    <row r="630" spans="28:33" ht="12.5">
      <c r="AB630" s="50"/>
      <c r="AC630" s="50"/>
      <c r="AD630" s="50"/>
      <c r="AE630" s="50"/>
      <c r="AF630" s="50"/>
      <c r="AG630" s="50"/>
    </row>
    <row r="631" spans="28:33" ht="12.5">
      <c r="AB631" s="50"/>
      <c r="AC631" s="50"/>
      <c r="AD631" s="50"/>
      <c r="AE631" s="50"/>
      <c r="AF631" s="50"/>
      <c r="AG631" s="50"/>
    </row>
    <row r="632" spans="28:33" ht="12.5">
      <c r="AB632" s="50"/>
      <c r="AC632" s="50"/>
      <c r="AD632" s="50"/>
      <c r="AE632" s="50"/>
      <c r="AF632" s="50"/>
      <c r="AG632" s="50"/>
    </row>
    <row r="633" spans="28:33" ht="12.5">
      <c r="AB633" s="50"/>
      <c r="AC633" s="50"/>
      <c r="AD633" s="50"/>
      <c r="AE633" s="50"/>
      <c r="AF633" s="50"/>
      <c r="AG633" s="50"/>
    </row>
    <row r="634" spans="28:33" ht="12.5">
      <c r="AB634" s="50"/>
      <c r="AC634" s="50"/>
      <c r="AD634" s="50"/>
      <c r="AE634" s="50"/>
      <c r="AF634" s="50"/>
      <c r="AG634" s="50"/>
    </row>
    <row r="635" spans="28:33" ht="12.5">
      <c r="AB635" s="50"/>
      <c r="AC635" s="50"/>
      <c r="AD635" s="50"/>
      <c r="AE635" s="50"/>
      <c r="AF635" s="50"/>
      <c r="AG635" s="50"/>
    </row>
    <row r="636" spans="28:33" ht="12.5">
      <c r="AB636" s="50"/>
      <c r="AC636" s="50"/>
      <c r="AD636" s="50"/>
      <c r="AE636" s="50"/>
      <c r="AF636" s="50"/>
      <c r="AG636" s="50"/>
    </row>
    <row r="637" spans="28:33" ht="12.5">
      <c r="AB637" s="50"/>
      <c r="AC637" s="50"/>
      <c r="AD637" s="50"/>
      <c r="AE637" s="50"/>
      <c r="AF637" s="50"/>
      <c r="AG637" s="50"/>
    </row>
    <row r="638" spans="28:33" ht="12.5">
      <c r="AB638" s="50"/>
      <c r="AC638" s="50"/>
      <c r="AD638" s="50"/>
      <c r="AE638" s="50"/>
      <c r="AF638" s="50"/>
      <c r="AG638" s="50"/>
    </row>
    <row r="639" spans="28:33" ht="12.5">
      <c r="AB639" s="50"/>
      <c r="AC639" s="50"/>
      <c r="AD639" s="50"/>
      <c r="AE639" s="50"/>
      <c r="AF639" s="50"/>
      <c r="AG639" s="50"/>
    </row>
    <row r="640" spans="28:33" ht="12.5">
      <c r="AB640" s="50"/>
      <c r="AC640" s="50"/>
      <c r="AD640" s="50"/>
      <c r="AE640" s="50"/>
      <c r="AF640" s="50"/>
      <c r="AG640" s="50"/>
    </row>
    <row r="641" spans="28:33" ht="12.5">
      <c r="AB641" s="50"/>
      <c r="AC641" s="50"/>
      <c r="AD641" s="50"/>
      <c r="AE641" s="50"/>
      <c r="AF641" s="50"/>
      <c r="AG641" s="50"/>
    </row>
    <row r="642" spans="28:33" ht="12.5">
      <c r="AB642" s="50"/>
      <c r="AC642" s="50"/>
      <c r="AD642" s="50"/>
      <c r="AE642" s="50"/>
      <c r="AF642" s="50"/>
      <c r="AG642" s="50"/>
    </row>
    <row r="643" spans="28:33" ht="12.5">
      <c r="AB643" s="50"/>
      <c r="AC643" s="50"/>
      <c r="AD643" s="50"/>
      <c r="AE643" s="50"/>
      <c r="AF643" s="50"/>
      <c r="AG643" s="50"/>
    </row>
    <row r="644" spans="28:33" ht="12.5">
      <c r="AB644" s="50"/>
      <c r="AC644" s="50"/>
      <c r="AD644" s="50"/>
      <c r="AE644" s="50"/>
      <c r="AF644" s="50"/>
      <c r="AG644" s="50"/>
    </row>
    <row r="645" spans="28:33" ht="12.5">
      <c r="AB645" s="50"/>
      <c r="AC645" s="50"/>
      <c r="AD645" s="50"/>
      <c r="AE645" s="50"/>
      <c r="AF645" s="50"/>
      <c r="AG645" s="50"/>
    </row>
    <row r="646" spans="28:33" ht="12.5">
      <c r="AB646" s="50"/>
      <c r="AC646" s="50"/>
      <c r="AD646" s="50"/>
      <c r="AE646" s="50"/>
      <c r="AF646" s="50"/>
      <c r="AG646" s="50"/>
    </row>
    <row r="647" spans="28:33" ht="12.5">
      <c r="AB647" s="50"/>
      <c r="AC647" s="50"/>
      <c r="AD647" s="50"/>
      <c r="AE647" s="50"/>
      <c r="AF647" s="50"/>
      <c r="AG647" s="50"/>
    </row>
    <row r="648" spans="28:33" ht="12.5">
      <c r="AB648" s="50"/>
      <c r="AC648" s="50"/>
      <c r="AD648" s="50"/>
      <c r="AE648" s="50"/>
      <c r="AF648" s="50"/>
      <c r="AG648" s="50"/>
    </row>
    <row r="649" spans="28:33" ht="12.5">
      <c r="AB649" s="50"/>
      <c r="AC649" s="50"/>
      <c r="AD649" s="50"/>
      <c r="AE649" s="50"/>
      <c r="AF649" s="50"/>
      <c r="AG649" s="50"/>
    </row>
    <row r="650" spans="28:33" ht="12.5">
      <c r="AB650" s="50"/>
      <c r="AC650" s="50"/>
      <c r="AD650" s="50"/>
      <c r="AE650" s="50"/>
      <c r="AF650" s="50"/>
      <c r="AG650" s="50"/>
    </row>
    <row r="651" spans="28:33" ht="12.5">
      <c r="AB651" s="50"/>
      <c r="AC651" s="50"/>
      <c r="AD651" s="50"/>
      <c r="AE651" s="50"/>
      <c r="AF651" s="50"/>
      <c r="AG651" s="50"/>
    </row>
    <row r="652" spans="28:33" ht="12.5">
      <c r="AB652" s="50"/>
      <c r="AC652" s="50"/>
      <c r="AD652" s="50"/>
      <c r="AE652" s="50"/>
      <c r="AF652" s="50"/>
      <c r="AG652" s="50"/>
    </row>
    <row r="653" spans="28:33" ht="12.5">
      <c r="AB653" s="50"/>
      <c r="AC653" s="50"/>
      <c r="AD653" s="50"/>
      <c r="AE653" s="50"/>
      <c r="AF653" s="50"/>
      <c r="AG653" s="50"/>
    </row>
    <row r="654" spans="28:33" ht="12.5">
      <c r="AB654" s="50"/>
      <c r="AC654" s="50"/>
      <c r="AD654" s="50"/>
      <c r="AE654" s="50"/>
      <c r="AF654" s="50"/>
      <c r="AG654" s="50"/>
    </row>
    <row r="655" spans="28:33" ht="12.5">
      <c r="AB655" s="50"/>
      <c r="AC655" s="50"/>
      <c r="AD655" s="50"/>
      <c r="AE655" s="50"/>
      <c r="AF655" s="50"/>
      <c r="AG655" s="50"/>
    </row>
    <row r="656" spans="28:33" ht="12.5">
      <c r="AB656" s="50"/>
      <c r="AC656" s="50"/>
      <c r="AD656" s="50"/>
      <c r="AE656" s="50"/>
      <c r="AF656" s="50"/>
      <c r="AG656" s="50"/>
    </row>
    <row r="657" spans="28:33" ht="12.5">
      <c r="AB657" s="50"/>
      <c r="AC657" s="50"/>
      <c r="AD657" s="50"/>
      <c r="AE657" s="50"/>
      <c r="AF657" s="50"/>
      <c r="AG657" s="50"/>
    </row>
    <row r="658" spans="28:33" ht="12.5">
      <c r="AB658" s="50"/>
      <c r="AC658" s="50"/>
      <c r="AD658" s="50"/>
      <c r="AE658" s="50"/>
      <c r="AF658" s="50"/>
      <c r="AG658" s="50"/>
    </row>
    <row r="659" spans="28:33" ht="12.5">
      <c r="AB659" s="50"/>
      <c r="AC659" s="50"/>
      <c r="AD659" s="50"/>
      <c r="AE659" s="50"/>
      <c r="AF659" s="50"/>
      <c r="AG659" s="50"/>
    </row>
    <row r="660" spans="28:33" ht="12.5">
      <c r="AB660" s="50"/>
      <c r="AC660" s="50"/>
      <c r="AD660" s="50"/>
      <c r="AE660" s="50"/>
      <c r="AF660" s="50"/>
      <c r="AG660" s="50"/>
    </row>
    <row r="661" spans="28:33" ht="12.5">
      <c r="AB661" s="50"/>
      <c r="AC661" s="50"/>
      <c r="AD661" s="50"/>
      <c r="AE661" s="50"/>
      <c r="AF661" s="50"/>
      <c r="AG661" s="50"/>
    </row>
    <row r="662" spans="28:33" ht="12.5">
      <c r="AB662" s="50"/>
      <c r="AC662" s="50"/>
      <c r="AD662" s="50"/>
      <c r="AE662" s="50"/>
      <c r="AF662" s="50"/>
      <c r="AG662" s="50"/>
    </row>
    <row r="663" spans="28:33" ht="12.5">
      <c r="AB663" s="50"/>
      <c r="AC663" s="50"/>
      <c r="AD663" s="50"/>
      <c r="AE663" s="50"/>
      <c r="AF663" s="50"/>
      <c r="AG663" s="50"/>
    </row>
    <row r="664" spans="28:33" ht="12.5">
      <c r="AB664" s="50"/>
      <c r="AC664" s="50"/>
      <c r="AD664" s="50"/>
      <c r="AE664" s="50"/>
      <c r="AF664" s="50"/>
      <c r="AG664" s="50"/>
    </row>
    <row r="665" spans="28:33" ht="12.5">
      <c r="AB665" s="50"/>
      <c r="AC665" s="50"/>
      <c r="AD665" s="50"/>
      <c r="AE665" s="50"/>
      <c r="AF665" s="50"/>
      <c r="AG665" s="50"/>
    </row>
    <row r="666" spans="28:33" ht="12.5">
      <c r="AB666" s="50"/>
      <c r="AC666" s="50"/>
      <c r="AD666" s="50"/>
      <c r="AE666" s="50"/>
      <c r="AF666" s="50"/>
      <c r="AG666" s="50"/>
    </row>
    <row r="667" spans="28:33" ht="12.5">
      <c r="AB667" s="50"/>
      <c r="AC667" s="50"/>
      <c r="AD667" s="50"/>
      <c r="AE667" s="50"/>
      <c r="AF667" s="50"/>
      <c r="AG667" s="50"/>
    </row>
    <row r="668" spans="28:33" ht="12.5">
      <c r="AB668" s="50"/>
      <c r="AC668" s="50"/>
      <c r="AD668" s="50"/>
      <c r="AE668" s="50"/>
      <c r="AF668" s="50"/>
      <c r="AG668" s="50"/>
    </row>
    <row r="669" spans="28:33" ht="12.5">
      <c r="AB669" s="50"/>
      <c r="AC669" s="50"/>
      <c r="AD669" s="50"/>
      <c r="AE669" s="50"/>
      <c r="AF669" s="50"/>
      <c r="AG669" s="50"/>
    </row>
    <row r="670" spans="28:33" ht="12.5">
      <c r="AB670" s="50"/>
      <c r="AC670" s="50"/>
      <c r="AD670" s="50"/>
      <c r="AE670" s="50"/>
      <c r="AF670" s="50"/>
      <c r="AG670" s="50"/>
    </row>
    <row r="671" spans="28:33" ht="12.5">
      <c r="AB671" s="50"/>
      <c r="AC671" s="50"/>
      <c r="AD671" s="50"/>
      <c r="AE671" s="50"/>
      <c r="AF671" s="50"/>
      <c r="AG671" s="50"/>
    </row>
    <row r="672" spans="28:33" ht="12.5">
      <c r="AB672" s="50"/>
      <c r="AC672" s="50"/>
      <c r="AD672" s="50"/>
      <c r="AE672" s="50"/>
      <c r="AF672" s="50"/>
      <c r="AG672" s="50"/>
    </row>
    <row r="673" spans="28:33" ht="12.5">
      <c r="AB673" s="50"/>
      <c r="AC673" s="50"/>
      <c r="AD673" s="50"/>
      <c r="AE673" s="50"/>
      <c r="AF673" s="50"/>
      <c r="AG673" s="50"/>
    </row>
    <row r="674" spans="28:33" ht="12.5">
      <c r="AB674" s="50"/>
      <c r="AC674" s="50"/>
      <c r="AD674" s="50"/>
      <c r="AE674" s="50"/>
      <c r="AF674" s="50"/>
      <c r="AG674" s="50"/>
    </row>
    <row r="675" spans="28:33" ht="12.5">
      <c r="AB675" s="50"/>
      <c r="AC675" s="50"/>
      <c r="AD675" s="50"/>
      <c r="AE675" s="50"/>
      <c r="AF675" s="50"/>
      <c r="AG675" s="50"/>
    </row>
    <row r="676" spans="28:33" ht="12.5">
      <c r="AB676" s="50"/>
      <c r="AC676" s="50"/>
      <c r="AD676" s="50"/>
      <c r="AE676" s="50"/>
      <c r="AF676" s="50"/>
      <c r="AG676" s="50"/>
    </row>
    <row r="677" spans="28:33" ht="12.5">
      <c r="AB677" s="50"/>
      <c r="AC677" s="50"/>
      <c r="AD677" s="50"/>
      <c r="AE677" s="50"/>
      <c r="AF677" s="50"/>
      <c r="AG677" s="50"/>
    </row>
    <row r="678" spans="28:33" ht="12.5">
      <c r="AB678" s="50"/>
      <c r="AC678" s="50"/>
      <c r="AD678" s="50"/>
      <c r="AE678" s="50"/>
      <c r="AF678" s="50"/>
      <c r="AG678" s="50"/>
    </row>
    <row r="679" spans="28:33" ht="12.5">
      <c r="AB679" s="50"/>
      <c r="AC679" s="50"/>
      <c r="AD679" s="50"/>
      <c r="AE679" s="50"/>
      <c r="AF679" s="50"/>
      <c r="AG679" s="50"/>
    </row>
    <row r="680" spans="28:33" ht="12.5">
      <c r="AB680" s="50"/>
      <c r="AC680" s="50"/>
      <c r="AD680" s="50"/>
      <c r="AE680" s="50"/>
      <c r="AF680" s="50"/>
      <c r="AG680" s="50"/>
    </row>
    <row r="681" spans="28:33" ht="12.5">
      <c r="AB681" s="50"/>
      <c r="AC681" s="50"/>
      <c r="AD681" s="50"/>
      <c r="AE681" s="50"/>
      <c r="AF681" s="50"/>
      <c r="AG681" s="50"/>
    </row>
    <row r="682" spans="28:33" ht="12.5">
      <c r="AB682" s="50"/>
      <c r="AC682" s="50"/>
      <c r="AD682" s="50"/>
      <c r="AE682" s="50"/>
      <c r="AF682" s="50"/>
      <c r="AG682" s="50"/>
    </row>
    <row r="683" spans="28:33" ht="12.5">
      <c r="AB683" s="50"/>
      <c r="AC683" s="50"/>
      <c r="AD683" s="50"/>
      <c r="AE683" s="50"/>
      <c r="AF683" s="50"/>
      <c r="AG683" s="50"/>
    </row>
    <row r="684" spans="28:33" ht="12.5">
      <c r="AB684" s="50"/>
      <c r="AC684" s="50"/>
      <c r="AD684" s="50"/>
      <c r="AE684" s="50"/>
      <c r="AF684" s="50"/>
      <c r="AG684" s="50"/>
    </row>
    <row r="685" spans="28:33" ht="12.5">
      <c r="AB685" s="50"/>
      <c r="AC685" s="50"/>
      <c r="AD685" s="50"/>
      <c r="AE685" s="50"/>
      <c r="AF685" s="50"/>
      <c r="AG685" s="50"/>
    </row>
    <row r="686" spans="28:33" ht="12.5">
      <c r="AB686" s="50"/>
      <c r="AC686" s="50"/>
      <c r="AD686" s="50"/>
      <c r="AE686" s="50"/>
      <c r="AF686" s="50"/>
      <c r="AG686" s="50"/>
    </row>
    <row r="687" spans="28:33" ht="12.5">
      <c r="AB687" s="50"/>
      <c r="AC687" s="50"/>
      <c r="AD687" s="50"/>
      <c r="AE687" s="50"/>
      <c r="AF687" s="50"/>
      <c r="AG687" s="50"/>
    </row>
    <row r="688" spans="28:33" ht="12.5">
      <c r="AB688" s="50"/>
      <c r="AC688" s="50"/>
      <c r="AD688" s="50"/>
      <c r="AE688" s="50"/>
      <c r="AF688" s="50"/>
      <c r="AG688" s="50"/>
    </row>
    <row r="689" spans="28:33" ht="12.5">
      <c r="AB689" s="50"/>
      <c r="AC689" s="50"/>
      <c r="AD689" s="50"/>
      <c r="AE689" s="50"/>
      <c r="AF689" s="50"/>
      <c r="AG689" s="50"/>
    </row>
    <row r="690" spans="28:33" ht="12.5">
      <c r="AB690" s="50"/>
      <c r="AC690" s="50"/>
      <c r="AD690" s="50"/>
      <c r="AE690" s="50"/>
      <c r="AF690" s="50"/>
      <c r="AG690" s="50"/>
    </row>
    <row r="691" spans="28:33" ht="12.5">
      <c r="AB691" s="50"/>
      <c r="AC691" s="50"/>
      <c r="AD691" s="50"/>
      <c r="AE691" s="50"/>
      <c r="AF691" s="50"/>
      <c r="AG691" s="50"/>
    </row>
    <row r="692" spans="28:33" ht="12.5">
      <c r="AB692" s="50"/>
      <c r="AC692" s="50"/>
      <c r="AD692" s="50"/>
      <c r="AE692" s="50"/>
      <c r="AF692" s="50"/>
      <c r="AG692" s="50"/>
    </row>
    <row r="693" spans="28:33" ht="12.5">
      <c r="AB693" s="50"/>
      <c r="AC693" s="50"/>
      <c r="AD693" s="50"/>
      <c r="AE693" s="50"/>
      <c r="AF693" s="50"/>
      <c r="AG693" s="50"/>
    </row>
    <row r="694" spans="28:33" ht="12.5">
      <c r="AB694" s="50"/>
      <c r="AC694" s="50"/>
      <c r="AD694" s="50"/>
      <c r="AE694" s="50"/>
      <c r="AF694" s="50"/>
      <c r="AG694" s="50"/>
    </row>
    <row r="695" spans="28:33" ht="12.5">
      <c r="AB695" s="50"/>
      <c r="AC695" s="50"/>
      <c r="AD695" s="50"/>
      <c r="AE695" s="50"/>
      <c r="AF695" s="50"/>
      <c r="AG695" s="50"/>
    </row>
    <row r="696" spans="28:33" ht="12.5">
      <c r="AB696" s="50"/>
      <c r="AC696" s="50"/>
      <c r="AD696" s="50"/>
      <c r="AE696" s="50"/>
      <c r="AF696" s="50"/>
      <c r="AG696" s="50"/>
    </row>
    <row r="697" spans="28:33" ht="12.5">
      <c r="AB697" s="50"/>
      <c r="AC697" s="50"/>
      <c r="AD697" s="50"/>
      <c r="AE697" s="50"/>
      <c r="AF697" s="50"/>
      <c r="AG697" s="50"/>
    </row>
    <row r="698" spans="28:33" ht="12.5">
      <c r="AB698" s="50"/>
      <c r="AC698" s="50"/>
      <c r="AD698" s="50"/>
      <c r="AE698" s="50"/>
      <c r="AF698" s="50"/>
      <c r="AG698" s="50"/>
    </row>
    <row r="699" spans="28:33" ht="12.5">
      <c r="AB699" s="50"/>
      <c r="AC699" s="50"/>
      <c r="AD699" s="50"/>
      <c r="AE699" s="50"/>
      <c r="AF699" s="50"/>
      <c r="AG699" s="50"/>
    </row>
    <row r="700" spans="28:33" ht="12.5">
      <c r="AB700" s="50"/>
      <c r="AC700" s="50"/>
      <c r="AD700" s="50"/>
      <c r="AE700" s="50"/>
      <c r="AF700" s="50"/>
      <c r="AG700" s="50"/>
    </row>
    <row r="701" spans="28:33" ht="12.5">
      <c r="AB701" s="50"/>
      <c r="AC701" s="50"/>
      <c r="AD701" s="50"/>
      <c r="AE701" s="50"/>
      <c r="AF701" s="50"/>
      <c r="AG701" s="50"/>
    </row>
    <row r="702" spans="28:33" ht="12.5">
      <c r="AB702" s="50"/>
      <c r="AC702" s="50"/>
      <c r="AD702" s="50"/>
      <c r="AE702" s="50"/>
      <c r="AF702" s="50"/>
      <c r="AG702" s="50"/>
    </row>
    <row r="703" spans="28:33" ht="12.5">
      <c r="AB703" s="50"/>
      <c r="AC703" s="50"/>
      <c r="AD703" s="50"/>
      <c r="AE703" s="50"/>
      <c r="AF703" s="50"/>
      <c r="AG703" s="50"/>
    </row>
    <row r="704" spans="28:33" ht="12.5">
      <c r="AB704" s="50"/>
      <c r="AC704" s="50"/>
      <c r="AD704" s="50"/>
      <c r="AE704" s="50"/>
      <c r="AF704" s="50"/>
      <c r="AG704" s="50"/>
    </row>
    <row r="705" spans="28:33" ht="12.5">
      <c r="AB705" s="50"/>
      <c r="AC705" s="50"/>
      <c r="AD705" s="50"/>
      <c r="AE705" s="50"/>
      <c r="AF705" s="50"/>
      <c r="AG705" s="50"/>
    </row>
    <row r="706" spans="28:33" ht="12.5">
      <c r="AB706" s="50"/>
      <c r="AC706" s="50"/>
      <c r="AD706" s="50"/>
      <c r="AE706" s="50"/>
      <c r="AF706" s="50"/>
      <c r="AG706" s="50"/>
    </row>
    <row r="707" spans="28:33" ht="12.5">
      <c r="AB707" s="50"/>
      <c r="AC707" s="50"/>
      <c r="AD707" s="50"/>
      <c r="AE707" s="50"/>
      <c r="AF707" s="50"/>
      <c r="AG707" s="50"/>
    </row>
    <row r="708" spans="28:33" ht="12.5">
      <c r="AB708" s="50"/>
      <c r="AC708" s="50"/>
      <c r="AD708" s="50"/>
      <c r="AE708" s="50"/>
      <c r="AF708" s="50"/>
      <c r="AG708" s="50"/>
    </row>
    <row r="709" spans="28:33" ht="12.5">
      <c r="AB709" s="50"/>
      <c r="AC709" s="50"/>
      <c r="AD709" s="50"/>
      <c r="AE709" s="50"/>
      <c r="AF709" s="50"/>
      <c r="AG709" s="50"/>
    </row>
    <row r="710" spans="28:33" ht="12.5">
      <c r="AB710" s="50"/>
      <c r="AC710" s="50"/>
      <c r="AD710" s="50"/>
      <c r="AE710" s="50"/>
      <c r="AF710" s="50"/>
      <c r="AG710" s="50"/>
    </row>
    <row r="711" spans="28:33" ht="12.5">
      <c r="AB711" s="50"/>
      <c r="AC711" s="50"/>
      <c r="AD711" s="50"/>
      <c r="AE711" s="50"/>
      <c r="AF711" s="50"/>
      <c r="AG711" s="50"/>
    </row>
    <row r="712" spans="28:33" ht="12.5">
      <c r="AB712" s="50"/>
      <c r="AC712" s="50"/>
      <c r="AD712" s="50"/>
      <c r="AE712" s="50"/>
      <c r="AF712" s="50"/>
      <c r="AG712" s="50"/>
    </row>
    <row r="713" spans="28:33" ht="12.5">
      <c r="AB713" s="50"/>
      <c r="AC713" s="50"/>
      <c r="AD713" s="50"/>
      <c r="AE713" s="50"/>
      <c r="AF713" s="50"/>
      <c r="AG713" s="50"/>
    </row>
    <row r="714" spans="28:33" ht="12.5">
      <c r="AB714" s="50"/>
      <c r="AC714" s="50"/>
      <c r="AD714" s="50"/>
      <c r="AE714" s="50"/>
      <c r="AF714" s="50"/>
      <c r="AG714" s="50"/>
    </row>
    <row r="715" spans="28:33" ht="12.5">
      <c r="AB715" s="50"/>
      <c r="AC715" s="50"/>
      <c r="AD715" s="50"/>
      <c r="AE715" s="50"/>
      <c r="AF715" s="50"/>
      <c r="AG715" s="50"/>
    </row>
    <row r="716" spans="28:33" ht="12.5">
      <c r="AB716" s="50"/>
      <c r="AC716" s="50"/>
      <c r="AD716" s="50"/>
      <c r="AE716" s="50"/>
      <c r="AF716" s="50"/>
      <c r="AG716" s="50"/>
    </row>
    <row r="717" spans="28:33" ht="12.5">
      <c r="AB717" s="50"/>
      <c r="AC717" s="50"/>
      <c r="AD717" s="50"/>
      <c r="AE717" s="50"/>
      <c r="AF717" s="50"/>
      <c r="AG717" s="50"/>
    </row>
    <row r="718" spans="28:33" ht="12.5">
      <c r="AB718" s="50"/>
      <c r="AC718" s="50"/>
      <c r="AD718" s="50"/>
      <c r="AE718" s="50"/>
      <c r="AF718" s="50"/>
      <c r="AG718" s="50"/>
    </row>
    <row r="719" spans="28:33" ht="12.5">
      <c r="AB719" s="50"/>
      <c r="AC719" s="50"/>
      <c r="AD719" s="50"/>
      <c r="AE719" s="50"/>
      <c r="AF719" s="50"/>
      <c r="AG719" s="50"/>
    </row>
    <row r="720" spans="28:33" ht="12.5">
      <c r="AB720" s="50"/>
      <c r="AC720" s="50"/>
      <c r="AD720" s="50"/>
      <c r="AE720" s="50"/>
      <c r="AF720" s="50"/>
      <c r="AG720" s="50"/>
    </row>
    <row r="721" spans="28:33" ht="12.5">
      <c r="AB721" s="50"/>
      <c r="AC721" s="50"/>
      <c r="AD721" s="50"/>
      <c r="AE721" s="50"/>
      <c r="AF721" s="50"/>
      <c r="AG721" s="50"/>
    </row>
    <row r="722" spans="28:33" ht="12.5">
      <c r="AB722" s="50"/>
      <c r="AC722" s="50"/>
      <c r="AD722" s="50"/>
      <c r="AE722" s="50"/>
      <c r="AF722" s="50"/>
      <c r="AG722" s="50"/>
    </row>
    <row r="723" spans="28:33" ht="12.5">
      <c r="AB723" s="50"/>
      <c r="AC723" s="50"/>
      <c r="AD723" s="50"/>
      <c r="AE723" s="50"/>
      <c r="AF723" s="50"/>
      <c r="AG723" s="50"/>
    </row>
    <row r="724" spans="28:33" ht="12.5">
      <c r="AB724" s="50"/>
      <c r="AC724" s="50"/>
      <c r="AD724" s="50"/>
      <c r="AE724" s="50"/>
      <c r="AF724" s="50"/>
      <c r="AG724" s="50"/>
    </row>
    <row r="725" spans="28:33" ht="12.5">
      <c r="AB725" s="50"/>
      <c r="AC725" s="50"/>
      <c r="AD725" s="50"/>
      <c r="AE725" s="50"/>
      <c r="AF725" s="50"/>
      <c r="AG725" s="50"/>
    </row>
    <row r="726" spans="28:33" ht="12.5">
      <c r="AB726" s="50"/>
      <c r="AC726" s="50"/>
      <c r="AD726" s="50"/>
      <c r="AE726" s="50"/>
      <c r="AF726" s="50"/>
      <c r="AG726" s="50"/>
    </row>
    <row r="727" spans="28:33" ht="12.5">
      <c r="AB727" s="50"/>
      <c r="AC727" s="50"/>
      <c r="AD727" s="50"/>
      <c r="AE727" s="50"/>
      <c r="AF727" s="50"/>
      <c r="AG727" s="50"/>
    </row>
    <row r="728" spans="28:33" ht="12.5">
      <c r="AB728" s="50"/>
      <c r="AC728" s="50"/>
      <c r="AD728" s="50"/>
      <c r="AE728" s="50"/>
      <c r="AF728" s="50"/>
      <c r="AG728" s="50"/>
    </row>
    <row r="729" spans="28:33" ht="12.5">
      <c r="AB729" s="50"/>
      <c r="AC729" s="50"/>
      <c r="AD729" s="50"/>
      <c r="AE729" s="50"/>
      <c r="AF729" s="50"/>
      <c r="AG729" s="50"/>
    </row>
    <row r="730" spans="28:33" ht="12.5">
      <c r="AB730" s="50"/>
      <c r="AC730" s="50"/>
      <c r="AD730" s="50"/>
      <c r="AE730" s="50"/>
      <c r="AF730" s="50"/>
      <c r="AG730" s="50"/>
    </row>
    <row r="731" spans="28:33" ht="12.5">
      <c r="AB731" s="50"/>
      <c r="AC731" s="50"/>
      <c r="AD731" s="50"/>
      <c r="AE731" s="50"/>
      <c r="AF731" s="50"/>
      <c r="AG731" s="50"/>
    </row>
    <row r="732" spans="28:33" ht="12.5">
      <c r="AB732" s="50"/>
      <c r="AC732" s="50"/>
      <c r="AD732" s="50"/>
      <c r="AE732" s="50"/>
      <c r="AF732" s="50"/>
      <c r="AG732" s="50"/>
    </row>
    <row r="733" spans="28:33" ht="12.5">
      <c r="AB733" s="50"/>
      <c r="AC733" s="50"/>
      <c r="AD733" s="50"/>
      <c r="AE733" s="50"/>
      <c r="AF733" s="50"/>
      <c r="AG733" s="50"/>
    </row>
    <row r="734" spans="28:33" ht="12.5">
      <c r="AB734" s="50"/>
      <c r="AC734" s="50"/>
      <c r="AD734" s="50"/>
      <c r="AE734" s="50"/>
      <c r="AF734" s="50"/>
      <c r="AG734" s="50"/>
    </row>
    <row r="735" spans="28:33" ht="12.5">
      <c r="AB735" s="50"/>
      <c r="AC735" s="50"/>
      <c r="AD735" s="50"/>
      <c r="AE735" s="50"/>
      <c r="AF735" s="50"/>
      <c r="AG735" s="50"/>
    </row>
    <row r="736" spans="28:33" ht="12.5">
      <c r="AB736" s="50"/>
      <c r="AC736" s="50"/>
      <c r="AD736" s="50"/>
      <c r="AE736" s="50"/>
      <c r="AF736" s="50"/>
      <c r="AG736" s="50"/>
    </row>
    <row r="737" spans="28:33" ht="12.5">
      <c r="AB737" s="50"/>
      <c r="AC737" s="50"/>
      <c r="AD737" s="50"/>
      <c r="AE737" s="50"/>
      <c r="AF737" s="50"/>
      <c r="AG737" s="50"/>
    </row>
    <row r="738" spans="28:33" ht="12.5">
      <c r="AB738" s="50"/>
      <c r="AC738" s="50"/>
      <c r="AD738" s="50"/>
      <c r="AE738" s="50"/>
      <c r="AF738" s="50"/>
      <c r="AG738" s="50"/>
    </row>
    <row r="739" spans="28:33" ht="12.5">
      <c r="AB739" s="50"/>
      <c r="AC739" s="50"/>
      <c r="AD739" s="50"/>
      <c r="AE739" s="50"/>
      <c r="AF739" s="50"/>
      <c r="AG739" s="50"/>
    </row>
    <row r="740" spans="28:33" ht="12.5">
      <c r="AB740" s="50"/>
      <c r="AC740" s="50"/>
      <c r="AD740" s="50"/>
      <c r="AE740" s="50"/>
      <c r="AF740" s="50"/>
      <c r="AG740" s="50"/>
    </row>
    <row r="741" spans="28:33" ht="12.5">
      <c r="AB741" s="50"/>
      <c r="AC741" s="50"/>
      <c r="AD741" s="50"/>
      <c r="AE741" s="50"/>
      <c r="AF741" s="50"/>
      <c r="AG741" s="50"/>
    </row>
    <row r="742" spans="28:33" ht="12.5">
      <c r="AB742" s="50"/>
      <c r="AC742" s="50"/>
      <c r="AD742" s="50"/>
      <c r="AE742" s="50"/>
      <c r="AF742" s="50"/>
      <c r="AG742" s="50"/>
    </row>
    <row r="743" spans="28:33" ht="12.5">
      <c r="AB743" s="50"/>
      <c r="AC743" s="50"/>
      <c r="AD743" s="50"/>
      <c r="AE743" s="50"/>
      <c r="AF743" s="50"/>
      <c r="AG743" s="50"/>
    </row>
    <row r="744" spans="28:33" ht="12.5">
      <c r="AB744" s="50"/>
      <c r="AC744" s="50"/>
      <c r="AD744" s="50"/>
      <c r="AE744" s="50"/>
      <c r="AF744" s="50"/>
      <c r="AG744" s="50"/>
    </row>
    <row r="745" spans="28:33" ht="12.5">
      <c r="AB745" s="50"/>
      <c r="AC745" s="50"/>
      <c r="AD745" s="50"/>
      <c r="AE745" s="50"/>
      <c r="AF745" s="50"/>
      <c r="AG745" s="50"/>
    </row>
    <row r="746" spans="28:33" ht="12.5">
      <c r="AB746" s="50"/>
      <c r="AC746" s="50"/>
      <c r="AD746" s="50"/>
      <c r="AE746" s="50"/>
      <c r="AF746" s="50"/>
      <c r="AG746" s="50"/>
    </row>
    <row r="747" spans="28:33" ht="12.5">
      <c r="AB747" s="50"/>
      <c r="AC747" s="50"/>
      <c r="AD747" s="50"/>
      <c r="AE747" s="50"/>
      <c r="AF747" s="50"/>
      <c r="AG747" s="50"/>
    </row>
    <row r="748" spans="28:33" ht="12.5">
      <c r="AB748" s="50"/>
      <c r="AC748" s="50"/>
      <c r="AD748" s="50"/>
      <c r="AE748" s="50"/>
      <c r="AF748" s="50"/>
      <c r="AG748" s="50"/>
    </row>
    <row r="749" spans="28:33" ht="12.5">
      <c r="AB749" s="50"/>
      <c r="AC749" s="50"/>
      <c r="AD749" s="50"/>
      <c r="AE749" s="50"/>
      <c r="AF749" s="50"/>
      <c r="AG749" s="50"/>
    </row>
    <row r="750" spans="28:33" ht="12.5">
      <c r="AB750" s="50"/>
      <c r="AC750" s="50"/>
      <c r="AD750" s="50"/>
      <c r="AE750" s="50"/>
      <c r="AF750" s="50"/>
      <c r="AG750" s="50"/>
    </row>
    <row r="751" spans="28:33" ht="12.5">
      <c r="AB751" s="50"/>
      <c r="AC751" s="50"/>
      <c r="AD751" s="50"/>
      <c r="AE751" s="50"/>
      <c r="AF751" s="50"/>
      <c r="AG751" s="50"/>
    </row>
    <row r="752" spans="28:33" ht="12.5">
      <c r="AB752" s="50"/>
      <c r="AC752" s="50"/>
      <c r="AD752" s="50"/>
      <c r="AE752" s="50"/>
      <c r="AF752" s="50"/>
      <c r="AG752" s="50"/>
    </row>
    <row r="753" spans="28:33" ht="12.5">
      <c r="AB753" s="50"/>
      <c r="AC753" s="50"/>
      <c r="AD753" s="50"/>
      <c r="AE753" s="50"/>
      <c r="AF753" s="50"/>
      <c r="AG753" s="50"/>
    </row>
    <row r="754" spans="28:33" ht="12.5">
      <c r="AB754" s="50"/>
      <c r="AC754" s="50"/>
      <c r="AD754" s="50"/>
      <c r="AE754" s="50"/>
      <c r="AF754" s="50"/>
      <c r="AG754" s="50"/>
    </row>
    <row r="755" spans="28:33" ht="12.5">
      <c r="AB755" s="50"/>
      <c r="AC755" s="50"/>
      <c r="AD755" s="50"/>
      <c r="AE755" s="50"/>
      <c r="AF755" s="50"/>
      <c r="AG755" s="50"/>
    </row>
    <row r="756" spans="28:33" ht="12.5">
      <c r="AB756" s="50"/>
      <c r="AC756" s="50"/>
      <c r="AD756" s="50"/>
      <c r="AE756" s="50"/>
      <c r="AF756" s="50"/>
      <c r="AG756" s="50"/>
    </row>
    <row r="757" spans="28:33" ht="12.5">
      <c r="AB757" s="50"/>
      <c r="AC757" s="50"/>
      <c r="AD757" s="50"/>
      <c r="AE757" s="50"/>
      <c r="AF757" s="50"/>
      <c r="AG757" s="50"/>
    </row>
    <row r="758" spans="28:33" ht="12.5">
      <c r="AB758" s="50"/>
      <c r="AC758" s="50"/>
      <c r="AD758" s="50"/>
      <c r="AE758" s="50"/>
      <c r="AF758" s="50"/>
      <c r="AG758" s="50"/>
    </row>
    <row r="759" spans="28:33" ht="12.5">
      <c r="AB759" s="50"/>
      <c r="AC759" s="50"/>
      <c r="AD759" s="50"/>
      <c r="AE759" s="50"/>
      <c r="AF759" s="50"/>
      <c r="AG759" s="50"/>
    </row>
    <row r="760" spans="28:33" ht="12.5">
      <c r="AB760" s="50"/>
      <c r="AC760" s="50"/>
      <c r="AD760" s="50"/>
      <c r="AE760" s="50"/>
      <c r="AF760" s="50"/>
      <c r="AG760" s="50"/>
    </row>
    <row r="761" spans="28:33" ht="12.5">
      <c r="AB761" s="50"/>
      <c r="AC761" s="50"/>
      <c r="AD761" s="50"/>
      <c r="AE761" s="50"/>
      <c r="AF761" s="50"/>
      <c r="AG761" s="50"/>
    </row>
    <row r="762" spans="28:33" ht="12.5">
      <c r="AB762" s="50"/>
      <c r="AC762" s="50"/>
      <c r="AD762" s="50"/>
      <c r="AE762" s="50"/>
      <c r="AF762" s="50"/>
      <c r="AG762" s="5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L285"/>
  <sheetViews>
    <sheetView workbookViewId="0"/>
  </sheetViews>
  <sheetFormatPr defaultColWidth="14.453125" defaultRowHeight="15.75" customHeight="1"/>
  <sheetData>
    <row r="2" spans="2:11" ht="15.75" customHeight="1">
      <c r="B2" s="4">
        <v>2009</v>
      </c>
      <c r="H2" s="4" t="s">
        <v>473</v>
      </c>
      <c r="I2" s="4" t="s">
        <v>474</v>
      </c>
    </row>
    <row r="3" spans="2:11" ht="15.75" customHeight="1">
      <c r="C3" s="346">
        <v>301773</v>
      </c>
      <c r="D3" s="4" t="s">
        <v>233</v>
      </c>
      <c r="H3" s="346">
        <v>1475317</v>
      </c>
      <c r="I3" s="348">
        <v>13901000</v>
      </c>
    </row>
    <row r="4" spans="2:11" ht="15.75" customHeight="1">
      <c r="C4" s="350">
        <v>176491</v>
      </c>
      <c r="D4" s="4" t="s">
        <v>476</v>
      </c>
      <c r="G4" s="4" t="s">
        <v>163</v>
      </c>
      <c r="H4" s="352">
        <v>14.48</v>
      </c>
      <c r="I4" s="353">
        <v>2.54</v>
      </c>
    </row>
    <row r="5" spans="2:11" ht="15.75" customHeight="1">
      <c r="B5" s="4" t="s">
        <v>478</v>
      </c>
      <c r="G5" s="4" t="s">
        <v>250</v>
      </c>
      <c r="H5">
        <f t="shared" ref="H5:I5" si="0">H4*H3</f>
        <v>21362590.16</v>
      </c>
      <c r="I5">
        <f t="shared" si="0"/>
        <v>35308540</v>
      </c>
      <c r="J5">
        <f>I5+H5</f>
        <v>56671130.159999996</v>
      </c>
    </row>
    <row r="7" spans="2:11" ht="15.75" customHeight="1">
      <c r="B7" s="167" t="s">
        <v>481</v>
      </c>
      <c r="G7" s="4" t="s">
        <v>267</v>
      </c>
      <c r="H7" s="348">
        <v>323780000</v>
      </c>
    </row>
    <row r="8" spans="2:11" ht="15.75" customHeight="1">
      <c r="B8" s="167" t="s">
        <v>482</v>
      </c>
      <c r="G8" s="4" t="s">
        <v>254</v>
      </c>
      <c r="H8" s="34">
        <f>J5/H7</f>
        <v>0.17502974291185372</v>
      </c>
      <c r="J8" s="4" t="s">
        <v>483</v>
      </c>
    </row>
    <row r="9" spans="2:11" ht="15.75" customHeight="1">
      <c r="B9" s="167" t="s">
        <v>484</v>
      </c>
    </row>
    <row r="11" spans="2:11" ht="15.75" customHeight="1">
      <c r="C11" s="260">
        <f>150000</f>
        <v>150000</v>
      </c>
    </row>
    <row r="12" spans="2:11" ht="15.75" customHeight="1">
      <c r="C12" s="4">
        <v>100000</v>
      </c>
      <c r="F12" s="4" t="s">
        <v>485</v>
      </c>
    </row>
    <row r="13" spans="2:11" ht="15.75" customHeight="1">
      <c r="C13" s="4">
        <v>95000</v>
      </c>
      <c r="F13" s="1002" t="s">
        <v>486</v>
      </c>
      <c r="G13" s="996"/>
      <c r="H13" s="996"/>
      <c r="I13" s="996"/>
      <c r="J13" s="996"/>
      <c r="K13" s="996"/>
    </row>
    <row r="14" spans="2:11" ht="15.75" customHeight="1">
      <c r="C14" s="358">
        <f>C13+C12+C11</f>
        <v>345000</v>
      </c>
      <c r="G14" s="209"/>
      <c r="H14" s="209"/>
      <c r="I14" s="209"/>
      <c r="J14" s="209"/>
      <c r="K14" s="209"/>
    </row>
    <row r="15" spans="2:11" ht="15.75" customHeight="1">
      <c r="F15" s="209" t="s">
        <v>488</v>
      </c>
      <c r="G15" s="209">
        <v>330000</v>
      </c>
      <c r="H15" s="209"/>
      <c r="I15" s="209"/>
      <c r="J15" s="209"/>
      <c r="K15" s="209"/>
    </row>
    <row r="16" spans="2:11" ht="15.75" customHeight="1">
      <c r="F16" s="4" t="s">
        <v>125</v>
      </c>
      <c r="G16" s="34">
        <f>G15/C14</f>
        <v>0.95652173913043481</v>
      </c>
    </row>
    <row r="19" spans="2:10" ht="15.75" customHeight="1">
      <c r="F19" s="167" t="s">
        <v>490</v>
      </c>
    </row>
    <row r="21" spans="2:10" ht="15.75" customHeight="1">
      <c r="B21" s="105">
        <v>2009</v>
      </c>
      <c r="C21" s="107"/>
      <c r="D21" s="107"/>
      <c r="E21" s="107"/>
      <c r="F21" s="108"/>
      <c r="H21" s="4" t="s">
        <v>492</v>
      </c>
      <c r="I21" s="4">
        <v>3000000</v>
      </c>
      <c r="J21" s="4" t="s">
        <v>171</v>
      </c>
    </row>
    <row r="22" spans="2:10" ht="12.5">
      <c r="B22" s="109"/>
      <c r="F22" s="110"/>
      <c r="I22" s="34">
        <f>I21/D26</f>
        <v>0.34201407517166449</v>
      </c>
    </row>
    <row r="23" spans="2:10" ht="12.5">
      <c r="B23" s="109"/>
      <c r="C23" s="4" t="s">
        <v>495</v>
      </c>
      <c r="D23" s="4" t="s">
        <v>171</v>
      </c>
      <c r="E23" s="4" t="s">
        <v>163</v>
      </c>
      <c r="F23" s="233" t="s">
        <v>164</v>
      </c>
    </row>
    <row r="24" spans="2:10" ht="12.5">
      <c r="B24" s="71" t="s">
        <v>274</v>
      </c>
      <c r="C24" s="4">
        <v>32989000</v>
      </c>
      <c r="D24" s="4">
        <v>8714771.8352000006</v>
      </c>
      <c r="E24" s="14">
        <v>2.4670000000000001</v>
      </c>
      <c r="F24" s="110">
        <f t="shared" ref="F24:F25" si="1">E24*D24</f>
        <v>21499342.117438402</v>
      </c>
    </row>
    <row r="25" spans="2:10" ht="12.5">
      <c r="B25" s="71" t="s">
        <v>280</v>
      </c>
      <c r="C25" s="4">
        <v>215000</v>
      </c>
      <c r="D25" s="4">
        <v>56796.991300000002</v>
      </c>
      <c r="E25" s="33">
        <v>2.35</v>
      </c>
      <c r="F25" s="110">
        <f t="shared" si="1"/>
        <v>133472.92955500001</v>
      </c>
    </row>
    <row r="26" spans="2:10" ht="12.5">
      <c r="B26" s="109"/>
      <c r="D26" s="34">
        <f>D25+D24</f>
        <v>8771568.8265000004</v>
      </c>
      <c r="F26" s="363">
        <f>F25+F24</f>
        <v>21632815.046993401</v>
      </c>
    </row>
    <row r="27" spans="2:10" ht="12.5">
      <c r="B27" s="109"/>
      <c r="F27" s="110"/>
    </row>
    <row r="28" spans="2:10" ht="12.5">
      <c r="B28" s="109"/>
      <c r="F28" s="110"/>
    </row>
    <row r="29" spans="2:10" ht="12.5">
      <c r="B29" s="71">
        <v>2010</v>
      </c>
      <c r="F29" s="110"/>
    </row>
    <row r="30" spans="2:10" ht="12.5">
      <c r="B30" s="109"/>
      <c r="F30" s="110"/>
    </row>
    <row r="31" spans="2:10" ht="12.5">
      <c r="B31" s="109"/>
      <c r="C31" s="4" t="s">
        <v>495</v>
      </c>
      <c r="D31" s="4" t="s">
        <v>171</v>
      </c>
      <c r="E31" s="4" t="s">
        <v>163</v>
      </c>
      <c r="F31" s="233" t="s">
        <v>164</v>
      </c>
    </row>
    <row r="32" spans="2:10" ht="12.5">
      <c r="B32" s="71" t="s">
        <v>274</v>
      </c>
      <c r="C32" s="4">
        <v>42598000</v>
      </c>
      <c r="D32" s="4">
        <v>11253201.085999999</v>
      </c>
      <c r="E32" s="14">
        <v>2.992</v>
      </c>
      <c r="F32" s="110">
        <f t="shared" ref="F32:F33" si="2">E32*D32</f>
        <v>33669577.649311997</v>
      </c>
    </row>
    <row r="33" spans="2:6" ht="12.5">
      <c r="B33" s="71" t="s">
        <v>280</v>
      </c>
      <c r="C33" s="4">
        <v>587000</v>
      </c>
      <c r="D33" s="4">
        <v>155068.995</v>
      </c>
      <c r="E33" s="29">
        <v>2.79</v>
      </c>
      <c r="F33" s="110">
        <f t="shared" si="2"/>
        <v>432642.49605000002</v>
      </c>
    </row>
    <row r="34" spans="2:6" ht="12.5">
      <c r="B34" s="109"/>
      <c r="D34" s="34">
        <f>D33+D32</f>
        <v>11408270.080999998</v>
      </c>
      <c r="F34" s="363">
        <f>F33+F32</f>
        <v>34102220.145361997</v>
      </c>
    </row>
    <row r="35" spans="2:6" ht="12.5">
      <c r="B35" s="109"/>
      <c r="F35" s="110"/>
    </row>
    <row r="36" spans="2:6" ht="12.5">
      <c r="B36" s="109"/>
      <c r="F36" s="110"/>
    </row>
    <row r="37" spans="2:6" ht="12.5">
      <c r="B37" s="71">
        <v>2011</v>
      </c>
      <c r="F37" s="110"/>
    </row>
    <row r="38" spans="2:6" ht="12.5">
      <c r="B38" s="109"/>
      <c r="F38" s="110"/>
    </row>
    <row r="39" spans="2:6" ht="12.5">
      <c r="B39" s="109"/>
      <c r="C39" s="4" t="s">
        <v>495</v>
      </c>
      <c r="D39" s="4" t="s">
        <v>171</v>
      </c>
      <c r="E39" s="4" t="s">
        <v>163</v>
      </c>
      <c r="F39" s="233" t="s">
        <v>164</v>
      </c>
    </row>
    <row r="40" spans="2:6" ht="12.5">
      <c r="B40" s="71" t="s">
        <v>274</v>
      </c>
      <c r="C40" s="4">
        <v>50215000</v>
      </c>
      <c r="D40" s="4">
        <v>13265399.608999999</v>
      </c>
      <c r="E40" s="14">
        <v>3.84</v>
      </c>
      <c r="F40" s="110">
        <f t="shared" ref="F40:F41" si="3">E40*D40</f>
        <v>50939134.498559996</v>
      </c>
    </row>
    <row r="41" spans="2:6" ht="12.5">
      <c r="B41" s="71" t="s">
        <v>280</v>
      </c>
      <c r="C41" s="4">
        <v>596000</v>
      </c>
      <c r="D41" s="4">
        <v>157446.54300000001</v>
      </c>
      <c r="E41" s="33">
        <v>3.53</v>
      </c>
      <c r="F41" s="110">
        <f t="shared" si="3"/>
        <v>555786.29678999993</v>
      </c>
    </row>
    <row r="42" spans="2:6" ht="12.5">
      <c r="B42" s="109"/>
      <c r="D42" s="34">
        <f>D41+D40</f>
        <v>13422846.151999999</v>
      </c>
      <c r="F42" s="363">
        <f>F41+F40</f>
        <v>51494920.795349993</v>
      </c>
    </row>
    <row r="43" spans="2:6" ht="12.5">
      <c r="B43" s="109"/>
      <c r="F43" s="110"/>
    </row>
    <row r="44" spans="2:6" ht="12.5">
      <c r="B44" s="71">
        <v>2012</v>
      </c>
      <c r="F44" s="110"/>
    </row>
    <row r="45" spans="2:6" ht="12.5">
      <c r="B45" s="109"/>
      <c r="C45" s="4" t="s">
        <v>495</v>
      </c>
      <c r="D45" s="4" t="s">
        <v>171</v>
      </c>
      <c r="E45" s="4" t="s">
        <v>163</v>
      </c>
      <c r="F45" s="233" t="s">
        <v>164</v>
      </c>
    </row>
    <row r="46" spans="2:6" ht="12.5">
      <c r="B46" s="71" t="s">
        <v>274</v>
      </c>
      <c r="C46" s="4">
        <v>55632000</v>
      </c>
      <c r="D46" s="4">
        <v>14696419.617000001</v>
      </c>
      <c r="E46" s="14">
        <v>3.968</v>
      </c>
      <c r="F46" s="110">
        <f t="shared" ref="F46:F47" si="4">E46*D46</f>
        <v>58315393.040256001</v>
      </c>
    </row>
    <row r="47" spans="2:6" ht="12.5">
      <c r="B47" s="71" t="s">
        <v>280</v>
      </c>
      <c r="C47" s="4">
        <v>1050000</v>
      </c>
      <c r="D47" s="4">
        <v>277380.65500000003</v>
      </c>
      <c r="E47" s="29">
        <v>3.64</v>
      </c>
      <c r="F47" s="110">
        <f t="shared" si="4"/>
        <v>1009665.5842000002</v>
      </c>
    </row>
    <row r="48" spans="2:6" ht="12.5">
      <c r="B48" s="109"/>
      <c r="D48" s="34">
        <f>D47+D46</f>
        <v>14973800.272</v>
      </c>
      <c r="F48" s="363">
        <f>F47+F46</f>
        <v>59325058.624456003</v>
      </c>
    </row>
    <row r="49" spans="2:6" ht="12.5">
      <c r="B49" s="109"/>
      <c r="F49" s="110"/>
    </row>
    <row r="50" spans="2:6" ht="12.5">
      <c r="B50" s="71">
        <v>2013</v>
      </c>
      <c r="F50" s="110"/>
    </row>
    <row r="51" spans="2:6" ht="12.5">
      <c r="B51" s="109"/>
      <c r="C51" s="4" t="s">
        <v>495</v>
      </c>
      <c r="D51" s="4" t="s">
        <v>171</v>
      </c>
      <c r="E51" s="4" t="s">
        <v>163</v>
      </c>
      <c r="F51" s="233" t="s">
        <v>164</v>
      </c>
    </row>
    <row r="52" spans="2:6" ht="12.5">
      <c r="B52" s="71" t="s">
        <v>274</v>
      </c>
      <c r="C52" s="4">
        <v>52584000</v>
      </c>
      <c r="D52" s="4">
        <v>13891223.200999999</v>
      </c>
      <c r="E52" s="14">
        <v>3.9220000000000002</v>
      </c>
      <c r="F52" s="110">
        <f t="shared" ref="F52:F53" si="5">E52*D52</f>
        <v>54481377.394322</v>
      </c>
    </row>
    <row r="53" spans="2:6" ht="12.5">
      <c r="B53" s="71" t="s">
        <v>280</v>
      </c>
      <c r="C53" s="4">
        <v>809000</v>
      </c>
      <c r="D53" s="4">
        <v>213715.19</v>
      </c>
      <c r="E53" s="33">
        <v>3.53</v>
      </c>
      <c r="F53" s="110">
        <f t="shared" si="5"/>
        <v>754414.62069999997</v>
      </c>
    </row>
    <row r="54" spans="2:6" ht="12.5">
      <c r="B54" s="109"/>
      <c r="D54" s="34">
        <f>D53+D52</f>
        <v>14104938.390999999</v>
      </c>
      <c r="F54" s="363">
        <f>F53+F52</f>
        <v>55235792.015022002</v>
      </c>
    </row>
    <row r="55" spans="2:6" ht="12.5">
      <c r="B55" s="109"/>
      <c r="F55" s="110"/>
    </row>
    <row r="56" spans="2:6" ht="12.5">
      <c r="B56" s="109"/>
      <c r="F56" s="110"/>
    </row>
    <row r="57" spans="2:6" ht="12.5">
      <c r="B57" s="71">
        <v>2014</v>
      </c>
      <c r="F57" s="110"/>
    </row>
    <row r="58" spans="2:6" ht="12.5">
      <c r="B58" s="109"/>
      <c r="C58" s="4" t="s">
        <v>495</v>
      </c>
      <c r="D58" s="4" t="s">
        <v>171</v>
      </c>
      <c r="E58" s="4" t="s">
        <v>163</v>
      </c>
      <c r="F58" s="233" t="s">
        <v>164</v>
      </c>
    </row>
    <row r="59" spans="2:6" ht="12.5">
      <c r="B59" s="71" t="s">
        <v>274</v>
      </c>
      <c r="C59" s="4">
        <v>54351000</v>
      </c>
      <c r="D59" s="4">
        <v>14358015.218</v>
      </c>
      <c r="E59" s="14">
        <v>3.8250000000000002</v>
      </c>
      <c r="F59" s="110">
        <f t="shared" ref="F59:F60" si="6">E59*D59</f>
        <v>54919408.208850004</v>
      </c>
    </row>
    <row r="60" spans="2:6" ht="12.5">
      <c r="B60" s="71" t="s">
        <v>280</v>
      </c>
      <c r="C60" s="4">
        <v>678000</v>
      </c>
      <c r="D60" s="4">
        <v>179108.65100000001</v>
      </c>
      <c r="E60" s="29">
        <v>3.37</v>
      </c>
      <c r="F60" s="110">
        <f t="shared" si="6"/>
        <v>603596.15387000004</v>
      </c>
    </row>
    <row r="61" spans="2:6" ht="12.5">
      <c r="B61" s="109"/>
      <c r="D61" s="34">
        <f>D60+D59</f>
        <v>14537123.869000001</v>
      </c>
      <c r="F61" s="363">
        <f>F60+F59</f>
        <v>55523004.362720005</v>
      </c>
    </row>
    <row r="62" spans="2:6" ht="12.5">
      <c r="B62" s="109"/>
      <c r="F62" s="110"/>
    </row>
    <row r="63" spans="2:6" ht="12.5">
      <c r="B63" s="109"/>
      <c r="F63" s="110"/>
    </row>
    <row r="64" spans="2:6" ht="12.5">
      <c r="B64" s="71">
        <v>2015</v>
      </c>
      <c r="F64" s="110"/>
    </row>
    <row r="65" spans="2:6" ht="12.5">
      <c r="B65" s="109"/>
      <c r="C65" s="4" t="s">
        <v>495</v>
      </c>
      <c r="D65" s="4" t="s">
        <v>171</v>
      </c>
      <c r="E65" s="4" t="s">
        <v>163</v>
      </c>
      <c r="F65" s="233" t="s">
        <v>164</v>
      </c>
    </row>
    <row r="66" spans="2:6" ht="12.5">
      <c r="B66" s="71" t="s">
        <v>274</v>
      </c>
      <c r="C66" s="4">
        <v>60659000</v>
      </c>
      <c r="D66" s="4">
        <v>16024412.524</v>
      </c>
      <c r="E66" s="14">
        <v>2.7069999999999999</v>
      </c>
      <c r="F66" s="110">
        <f t="shared" ref="F66:F67" si="7">E66*D66</f>
        <v>43378084.702468</v>
      </c>
    </row>
    <row r="67" spans="2:6" ht="12.5">
      <c r="B67" s="71" t="s">
        <v>280</v>
      </c>
      <c r="C67" s="4">
        <v>1248000</v>
      </c>
      <c r="D67" s="4">
        <v>329686.72129999998</v>
      </c>
      <c r="E67" s="33">
        <v>2.4500000000000002</v>
      </c>
      <c r="F67" s="110">
        <f t="shared" si="7"/>
        <v>807732.46718499996</v>
      </c>
    </row>
    <row r="68" spans="2:6" ht="12.5">
      <c r="B68" s="109"/>
      <c r="D68" s="34">
        <f>D67+D66</f>
        <v>16354099.245300001</v>
      </c>
      <c r="F68" s="363">
        <f>F67+F66</f>
        <v>44185817.169652998</v>
      </c>
    </row>
    <row r="69" spans="2:6" ht="12.5">
      <c r="B69" s="109"/>
      <c r="F69" s="110"/>
    </row>
    <row r="70" spans="2:6" ht="12.5">
      <c r="B70" s="109"/>
      <c r="F70" s="110"/>
    </row>
    <row r="71" spans="2:6" ht="12.5">
      <c r="B71" s="71">
        <v>2016</v>
      </c>
      <c r="F71" s="110"/>
    </row>
    <row r="72" spans="2:6" ht="12.5">
      <c r="B72" s="109"/>
      <c r="C72" s="4" t="s">
        <v>495</v>
      </c>
      <c r="D72" s="4" t="s">
        <v>171</v>
      </c>
      <c r="E72" s="4" t="s">
        <v>163</v>
      </c>
      <c r="F72" s="233" t="s">
        <v>164</v>
      </c>
    </row>
    <row r="73" spans="2:6" ht="12.5">
      <c r="B73" s="71" t="s">
        <v>274</v>
      </c>
      <c r="C73" s="4">
        <v>69905000</v>
      </c>
      <c r="D73" s="4">
        <v>18466947.32</v>
      </c>
      <c r="E73" s="14">
        <v>2.3039999999999998</v>
      </c>
      <c r="F73" s="110">
        <f t="shared" ref="F73:F74" si="8">E73*D73</f>
        <v>42547846.62528</v>
      </c>
    </row>
    <row r="74" spans="2:6" ht="12.5">
      <c r="B74" s="71" t="s">
        <v>280</v>
      </c>
      <c r="C74" s="4">
        <v>2329000</v>
      </c>
      <c r="D74" s="4">
        <v>615256.70990000002</v>
      </c>
      <c r="E74" s="29">
        <v>2.25</v>
      </c>
      <c r="F74" s="110">
        <f t="shared" si="8"/>
        <v>1384327.5972750001</v>
      </c>
    </row>
    <row r="75" spans="2:6" ht="12.5">
      <c r="B75" s="109"/>
      <c r="D75" s="34">
        <f>D74+D73</f>
        <v>19082204.029899999</v>
      </c>
      <c r="F75" s="363">
        <f>F74+F73</f>
        <v>43932174.222554997</v>
      </c>
    </row>
    <row r="76" spans="2:6" ht="12.5">
      <c r="B76" s="109"/>
      <c r="F76" s="110"/>
    </row>
    <row r="77" spans="2:6" ht="12.5">
      <c r="B77" s="109"/>
      <c r="F77" s="110"/>
    </row>
    <row r="78" spans="2:6" ht="12.5">
      <c r="B78" s="71">
        <v>2017</v>
      </c>
      <c r="F78" s="110"/>
    </row>
    <row r="79" spans="2:6" ht="12.5">
      <c r="B79" s="109"/>
      <c r="C79" s="4" t="s">
        <v>495</v>
      </c>
      <c r="D79" s="4" t="s">
        <v>171</v>
      </c>
      <c r="E79" s="4" t="s">
        <v>163</v>
      </c>
      <c r="F79" s="233" t="s">
        <v>164</v>
      </c>
    </row>
    <row r="80" spans="2:6" ht="12.5">
      <c r="B80" s="71" t="s">
        <v>274</v>
      </c>
      <c r="C80" s="4">
        <v>33966281</v>
      </c>
      <c r="D80" s="4">
        <v>8972942.1626999993</v>
      </c>
      <c r="E80" s="14">
        <v>2.65</v>
      </c>
      <c r="F80" s="110">
        <f t="shared" ref="F80:F81" si="9">E80*D80</f>
        <v>23778296.731154997</v>
      </c>
    </row>
    <row r="81" spans="2:10" ht="12.5">
      <c r="B81" s="71" t="s">
        <v>280</v>
      </c>
      <c r="C81" s="4">
        <v>508925</v>
      </c>
      <c r="D81" s="4">
        <v>134443.76199999999</v>
      </c>
      <c r="E81" s="33">
        <v>2.528</v>
      </c>
      <c r="F81" s="110">
        <f t="shared" si="9"/>
        <v>339873.83033599996</v>
      </c>
    </row>
    <row r="82" spans="2:10" ht="12.5">
      <c r="B82" s="109"/>
      <c r="D82" s="34">
        <f>D81+D80</f>
        <v>9107385.9246999994</v>
      </c>
      <c r="F82" s="363">
        <f>F81+F80</f>
        <v>24118170.561490998</v>
      </c>
    </row>
    <row r="83" spans="2:10" ht="12.5">
      <c r="B83" s="109"/>
      <c r="F83" s="110"/>
    </row>
    <row r="84" spans="2:10" ht="12.5">
      <c r="B84" s="113"/>
      <c r="C84" s="114"/>
      <c r="D84" s="114"/>
      <c r="E84" s="114"/>
      <c r="F84" s="115"/>
    </row>
    <row r="90" spans="2:10" ht="18">
      <c r="B90" s="380">
        <v>2010</v>
      </c>
      <c r="C90" s="107"/>
      <c r="D90" s="107"/>
      <c r="E90" s="107"/>
      <c r="F90" s="108"/>
      <c r="G90" s="107"/>
      <c r="H90" s="107"/>
      <c r="I90" s="107"/>
      <c r="J90" s="108"/>
    </row>
    <row r="91" spans="2:10" ht="12.5">
      <c r="B91" s="109"/>
      <c r="F91" s="110"/>
      <c r="J91" s="110"/>
    </row>
    <row r="92" spans="2:10" ht="12.5">
      <c r="B92" s="109"/>
      <c r="C92" s="4" t="s">
        <v>495</v>
      </c>
      <c r="D92" s="4" t="s">
        <v>171</v>
      </c>
      <c r="E92" s="4" t="s">
        <v>163</v>
      </c>
      <c r="F92" s="233" t="s">
        <v>164</v>
      </c>
      <c r="J92" s="110"/>
    </row>
    <row r="93" spans="2:10" ht="12.5">
      <c r="B93" s="71" t="s">
        <v>274</v>
      </c>
      <c r="C93" s="4">
        <v>42598000</v>
      </c>
      <c r="D93" s="4">
        <v>11253201.085999999</v>
      </c>
      <c r="E93" s="14">
        <v>2.992</v>
      </c>
      <c r="F93" s="110">
        <f t="shared" ref="F93:F94" si="10">E93*D93</f>
        <v>33669577.649311997</v>
      </c>
      <c r="J93" s="110"/>
    </row>
    <row r="94" spans="2:10" ht="12.5">
      <c r="B94" s="71" t="s">
        <v>280</v>
      </c>
      <c r="C94" s="4">
        <v>587000</v>
      </c>
      <c r="D94" s="4">
        <v>155068.995</v>
      </c>
      <c r="E94" s="29">
        <v>2.79</v>
      </c>
      <c r="F94" s="110">
        <f t="shared" si="10"/>
        <v>432642.49605000002</v>
      </c>
      <c r="J94" s="110"/>
    </row>
    <row r="95" spans="2:10" ht="12.5">
      <c r="B95" s="109"/>
      <c r="D95" s="34">
        <f>D94+D93</f>
        <v>11408270.080999998</v>
      </c>
      <c r="F95" s="363">
        <f>F94+F93</f>
        <v>34102220.145361997</v>
      </c>
      <c r="J95" s="110"/>
    </row>
    <row r="96" spans="2:10" ht="12.5">
      <c r="B96" s="109"/>
      <c r="J96" s="110"/>
    </row>
    <row r="97" spans="2:12" ht="12.5">
      <c r="B97" s="109"/>
      <c r="H97" s="4" t="s">
        <v>163</v>
      </c>
      <c r="I97" s="4" t="s">
        <v>250</v>
      </c>
      <c r="J97" s="110"/>
    </row>
    <row r="98" spans="2:12" ht="12.5">
      <c r="B98" s="386">
        <v>382911</v>
      </c>
      <c r="C98" s="4" t="s">
        <v>233</v>
      </c>
      <c r="F98" s="4" t="s">
        <v>513</v>
      </c>
      <c r="G98" s="348">
        <v>2143721</v>
      </c>
      <c r="H98" s="353">
        <v>21.4</v>
      </c>
      <c r="I98">
        <f t="shared" ref="I98:I99" si="11">H98*G98</f>
        <v>45875629.399999999</v>
      </c>
      <c r="J98" s="110"/>
    </row>
    <row r="99" spans="2:12" ht="13">
      <c r="B99" s="392">
        <v>250338</v>
      </c>
      <c r="C99" s="4" t="s">
        <v>476</v>
      </c>
      <c r="F99" s="4" t="s">
        <v>514</v>
      </c>
      <c r="G99" s="348">
        <v>14050000</v>
      </c>
      <c r="H99" s="353">
        <v>3.48</v>
      </c>
      <c r="I99">
        <f t="shared" si="11"/>
        <v>48894000</v>
      </c>
      <c r="J99" s="110"/>
    </row>
    <row r="100" spans="2:12" ht="12.5">
      <c r="B100" s="394" t="s">
        <v>515</v>
      </c>
      <c r="C100" s="4" t="s">
        <v>262</v>
      </c>
      <c r="F100" s="4" t="s">
        <v>517</v>
      </c>
      <c r="G100" s="348">
        <v>530450000</v>
      </c>
      <c r="J100" s="110"/>
    </row>
    <row r="101" spans="2:12" ht="12.5">
      <c r="B101" s="109"/>
      <c r="F101" s="4" t="s">
        <v>254</v>
      </c>
      <c r="G101" s="34">
        <f>(I99+I98)/G100</f>
        <v>0.17865892996512397</v>
      </c>
      <c r="J101" s="110"/>
    </row>
    <row r="102" spans="2:12" ht="12.5">
      <c r="B102" s="109"/>
      <c r="J102" s="110"/>
    </row>
    <row r="103" spans="2:12" ht="12.5">
      <c r="B103" s="109"/>
      <c r="J103" s="110"/>
    </row>
    <row r="104" spans="2:12" ht="12.5">
      <c r="B104" s="109"/>
      <c r="C104" s="1002" t="s">
        <v>519</v>
      </c>
      <c r="D104" s="996"/>
      <c r="E104" s="996"/>
      <c r="F104" s="996"/>
      <c r="G104" s="996"/>
      <c r="H104" s="996"/>
      <c r="I104" s="996"/>
      <c r="J104" s="998"/>
    </row>
    <row r="105" spans="2:12" ht="12.5">
      <c r="B105" s="109"/>
      <c r="C105" s="996"/>
      <c r="D105" s="996"/>
      <c r="E105" s="996"/>
      <c r="F105" s="996"/>
      <c r="G105" s="996"/>
      <c r="H105" s="996"/>
      <c r="I105" s="996"/>
      <c r="J105" s="998"/>
    </row>
    <row r="106" spans="2:12" ht="12.5">
      <c r="B106" s="109"/>
      <c r="J106" s="110"/>
    </row>
    <row r="107" spans="2:12" ht="12.5">
      <c r="B107" s="109"/>
      <c r="C107" s="4" t="s">
        <v>488</v>
      </c>
      <c r="D107" s="4">
        <v>264000</v>
      </c>
      <c r="E107" s="4" t="s">
        <v>521</v>
      </c>
      <c r="J107" s="110"/>
    </row>
    <row r="108" spans="2:12" ht="12.5">
      <c r="B108" s="113"/>
      <c r="C108" s="122" t="s">
        <v>523</v>
      </c>
      <c r="D108" s="189">
        <f>D107/390000</f>
        <v>0.67692307692307696</v>
      </c>
      <c r="E108" s="114"/>
      <c r="F108" s="114"/>
      <c r="G108" s="114"/>
      <c r="H108" s="114"/>
      <c r="I108" s="114"/>
      <c r="J108" s="115"/>
    </row>
    <row r="112" spans="2:12" ht="15.5">
      <c r="B112" s="396">
        <v>2011</v>
      </c>
      <c r="C112" s="107"/>
      <c r="D112" s="107"/>
      <c r="E112" s="107"/>
      <c r="F112" s="108"/>
      <c r="G112" s="107"/>
      <c r="H112" s="107"/>
      <c r="I112" s="107"/>
      <c r="J112" s="107"/>
      <c r="K112" s="107"/>
      <c r="L112" s="108"/>
    </row>
    <row r="113" spans="2:12" ht="12.5">
      <c r="B113" s="109"/>
      <c r="F113" s="110"/>
      <c r="L113" s="110"/>
    </row>
    <row r="114" spans="2:12" ht="12.5">
      <c r="B114" s="109"/>
      <c r="C114" s="4" t="s">
        <v>495</v>
      </c>
      <c r="D114" s="4" t="s">
        <v>171</v>
      </c>
      <c r="E114" s="4" t="s">
        <v>163</v>
      </c>
      <c r="F114" s="233" t="s">
        <v>164</v>
      </c>
      <c r="L114" s="110"/>
    </row>
    <row r="115" spans="2:12" ht="12.5">
      <c r="B115" s="71" t="s">
        <v>274</v>
      </c>
      <c r="C115" s="4">
        <v>50215000</v>
      </c>
      <c r="D115" s="4">
        <v>13265399.608999999</v>
      </c>
      <c r="E115" s="14">
        <v>3.84</v>
      </c>
      <c r="F115" s="110">
        <f t="shared" ref="F115:F116" si="12">E115*D115</f>
        <v>50939134.498559996</v>
      </c>
      <c r="L115" s="110"/>
    </row>
    <row r="116" spans="2:12" ht="12.5">
      <c r="B116" s="71" t="s">
        <v>280</v>
      </c>
      <c r="C116" s="4">
        <v>596000</v>
      </c>
      <c r="D116" s="4">
        <v>157446.54300000001</v>
      </c>
      <c r="E116" s="33">
        <v>3.53</v>
      </c>
      <c r="F116" s="110">
        <f t="shared" si="12"/>
        <v>555786.29678999993</v>
      </c>
      <c r="L116" s="110"/>
    </row>
    <row r="117" spans="2:12" ht="12.5">
      <c r="B117" s="109"/>
      <c r="D117" s="34">
        <f>D116+D115</f>
        <v>13422846.151999999</v>
      </c>
      <c r="F117" s="363">
        <f>F116+F115</f>
        <v>51494920.795349993</v>
      </c>
      <c r="L117" s="110"/>
    </row>
    <row r="118" spans="2:12" ht="12.5">
      <c r="B118" s="109"/>
      <c r="L118" s="110"/>
    </row>
    <row r="119" spans="2:12" ht="12.5">
      <c r="B119" s="109"/>
      <c r="J119" s="4" t="s">
        <v>163</v>
      </c>
      <c r="K119" s="4" t="s">
        <v>250</v>
      </c>
      <c r="L119" s="110"/>
    </row>
    <row r="120" spans="2:12" ht="12.5">
      <c r="B120" s="109"/>
      <c r="C120" s="397">
        <v>387155</v>
      </c>
      <c r="D120" s="4" t="s">
        <v>233</v>
      </c>
      <c r="H120" s="4" t="s">
        <v>513</v>
      </c>
      <c r="I120" s="397">
        <v>2007801</v>
      </c>
      <c r="J120" s="398">
        <v>35.15</v>
      </c>
      <c r="K120" s="4">
        <f t="shared" ref="K120:K121" si="13">J120*I120</f>
        <v>70574205.149999991</v>
      </c>
      <c r="L120" s="110"/>
    </row>
    <row r="121" spans="2:12" ht="13">
      <c r="B121" s="109"/>
      <c r="C121" s="399">
        <v>303778</v>
      </c>
      <c r="D121" s="4" t="s">
        <v>264</v>
      </c>
      <c r="H121" s="4" t="s">
        <v>514</v>
      </c>
      <c r="I121" s="397">
        <v>15316</v>
      </c>
      <c r="J121" s="398">
        <v>3.78</v>
      </c>
      <c r="K121" s="4">
        <f t="shared" si="13"/>
        <v>57894.479999999996</v>
      </c>
      <c r="L121" s="110"/>
    </row>
    <row r="122" spans="2:12" ht="13">
      <c r="B122" s="109"/>
      <c r="C122" s="400" t="s">
        <v>532</v>
      </c>
      <c r="D122" s="4" t="s">
        <v>262</v>
      </c>
      <c r="K122">
        <f>K121+K120</f>
        <v>70632099.629999995</v>
      </c>
      <c r="L122" s="110"/>
    </row>
    <row r="123" spans="2:12" ht="12.5">
      <c r="B123" s="109"/>
      <c r="H123" s="4" t="s">
        <v>267</v>
      </c>
      <c r="I123" s="397">
        <v>695939000</v>
      </c>
      <c r="L123" s="110"/>
    </row>
    <row r="124" spans="2:12" ht="12.5">
      <c r="B124" s="109"/>
      <c r="H124" s="4" t="s">
        <v>254</v>
      </c>
      <c r="I124" s="34">
        <f>K122/I123</f>
        <v>0.10149179688162324</v>
      </c>
      <c r="L124" s="110"/>
    </row>
    <row r="125" spans="2:12" ht="12.5">
      <c r="B125" s="109"/>
      <c r="L125" s="110"/>
    </row>
    <row r="126" spans="2:12" ht="12.5">
      <c r="B126" s="109"/>
      <c r="D126" s="167" t="s">
        <v>535</v>
      </c>
      <c r="L126" s="110"/>
    </row>
    <row r="127" spans="2:12" ht="12.5">
      <c r="B127" s="109"/>
      <c r="L127" s="110"/>
    </row>
    <row r="128" spans="2:12" ht="12.5">
      <c r="B128" s="109"/>
      <c r="D128" s="4" t="s">
        <v>536</v>
      </c>
      <c r="E128" s="4">
        <v>198000</v>
      </c>
      <c r="L128" s="110"/>
    </row>
    <row r="129" spans="2:12" ht="12.5">
      <c r="B129" s="109"/>
      <c r="D129" s="4" t="s">
        <v>523</v>
      </c>
      <c r="E129" s="34">
        <f>E128/425000</f>
        <v>0.46588235294117647</v>
      </c>
      <c r="L129" s="110"/>
    </row>
    <row r="130" spans="2:12" ht="12.5">
      <c r="B130" s="113"/>
      <c r="C130" s="114"/>
      <c r="D130" s="114"/>
      <c r="E130" s="114"/>
      <c r="F130" s="114"/>
      <c r="G130" s="114"/>
      <c r="H130" s="114"/>
      <c r="I130" s="114"/>
      <c r="J130" s="114"/>
      <c r="K130" s="114"/>
      <c r="L130" s="115"/>
    </row>
    <row r="134" spans="2:12" ht="12.5">
      <c r="B134" s="105">
        <v>2012</v>
      </c>
      <c r="C134" s="107"/>
      <c r="D134" s="107"/>
      <c r="E134" s="107"/>
      <c r="F134" s="108"/>
      <c r="G134" s="107"/>
      <c r="H134" s="107"/>
      <c r="I134" s="107"/>
      <c r="J134" s="107"/>
      <c r="K134" s="107"/>
      <c r="L134" s="108"/>
    </row>
    <row r="135" spans="2:12" ht="12.5">
      <c r="B135" s="109"/>
      <c r="C135" s="4" t="s">
        <v>495</v>
      </c>
      <c r="D135" s="4" t="s">
        <v>171</v>
      </c>
      <c r="E135" s="4" t="s">
        <v>163</v>
      </c>
      <c r="F135" s="233" t="s">
        <v>164</v>
      </c>
      <c r="L135" s="110"/>
    </row>
    <row r="136" spans="2:12" ht="12.5">
      <c r="B136" s="71" t="s">
        <v>274</v>
      </c>
      <c r="C136" s="4">
        <v>55632000</v>
      </c>
      <c r="D136" s="4">
        <v>14696419.617000001</v>
      </c>
      <c r="E136" s="14">
        <v>3.968</v>
      </c>
      <c r="F136" s="110">
        <f t="shared" ref="F136:F137" si="14">E136*D136</f>
        <v>58315393.040256001</v>
      </c>
      <c r="L136" s="110"/>
    </row>
    <row r="137" spans="2:12" ht="12.5">
      <c r="B137" s="71" t="s">
        <v>280</v>
      </c>
      <c r="C137" s="4">
        <v>1050000</v>
      </c>
      <c r="D137" s="4">
        <v>277380.65500000003</v>
      </c>
      <c r="E137" s="29">
        <v>3.64</v>
      </c>
      <c r="F137" s="110">
        <f t="shared" si="14"/>
        <v>1009665.5842000002</v>
      </c>
      <c r="L137" s="110"/>
    </row>
    <row r="138" spans="2:12" ht="12.5">
      <c r="B138" s="109"/>
      <c r="D138" s="34">
        <f>D137+D136</f>
        <v>14973800.272</v>
      </c>
      <c r="F138" s="363">
        <f>F137+F136</f>
        <v>59325058.624456003</v>
      </c>
      <c r="L138" s="110"/>
    </row>
    <row r="139" spans="2:12" ht="12.5">
      <c r="B139" s="109"/>
      <c r="L139" s="110"/>
    </row>
    <row r="140" spans="2:12" ht="12.5">
      <c r="B140" s="109"/>
      <c r="L140" s="110"/>
    </row>
    <row r="141" spans="2:12" ht="12.5">
      <c r="B141" s="109"/>
      <c r="C141" s="348">
        <v>411892</v>
      </c>
      <c r="D141" s="4" t="s">
        <v>233</v>
      </c>
      <c r="I141" s="4" t="s">
        <v>163</v>
      </c>
      <c r="J141" s="4" t="s">
        <v>250</v>
      </c>
      <c r="L141" s="110"/>
    </row>
    <row r="142" spans="2:12" ht="13">
      <c r="B142" s="109"/>
      <c r="C142" s="400">
        <v>344.3</v>
      </c>
      <c r="D142" s="4" t="s">
        <v>248</v>
      </c>
      <c r="G142" s="4" t="s">
        <v>513</v>
      </c>
      <c r="H142" s="348">
        <v>1926137</v>
      </c>
      <c r="I142" s="353">
        <v>30.78</v>
      </c>
      <c r="J142">
        <f t="shared" ref="J142:J143" si="15">I142*H142</f>
        <v>59286496.859999999</v>
      </c>
      <c r="L142" s="110"/>
    </row>
    <row r="143" spans="2:12" ht="13">
      <c r="B143" s="109"/>
      <c r="C143" s="400" t="s">
        <v>543</v>
      </c>
      <c r="D143" s="4" t="s">
        <v>262</v>
      </c>
      <c r="G143" s="4" t="s">
        <v>514</v>
      </c>
      <c r="H143" s="348">
        <v>35613000</v>
      </c>
      <c r="I143" s="353">
        <v>3.56</v>
      </c>
      <c r="J143">
        <f t="shared" si="15"/>
        <v>126782280</v>
      </c>
      <c r="L143" s="110"/>
    </row>
    <row r="144" spans="2:12" ht="12.5">
      <c r="B144" s="109"/>
      <c r="J144">
        <f>J143+J142</f>
        <v>186068776.86000001</v>
      </c>
      <c r="L144" s="110"/>
    </row>
    <row r="145" spans="2:12" ht="12.5">
      <c r="B145" s="109"/>
      <c r="G145" s="4" t="s">
        <v>267</v>
      </c>
      <c r="H145" s="4" t="s">
        <v>254</v>
      </c>
      <c r="L145" s="110"/>
    </row>
    <row r="146" spans="2:12" ht="12.5">
      <c r="B146" s="109"/>
      <c r="G146" s="353">
        <v>791300000</v>
      </c>
      <c r="H146" s="34">
        <f>J144/G146</f>
        <v>0.23514315286237839</v>
      </c>
      <c r="L146" s="110"/>
    </row>
    <row r="147" spans="2:12" ht="12.5">
      <c r="B147" s="109"/>
      <c r="L147" s="110"/>
    </row>
    <row r="148" spans="2:12" ht="12.5">
      <c r="B148" s="109"/>
      <c r="L148" s="110"/>
    </row>
    <row r="149" spans="2:12" ht="12.5">
      <c r="B149" s="109"/>
      <c r="C149" s="4" t="s">
        <v>544</v>
      </c>
      <c r="L149" s="110"/>
    </row>
    <row r="150" spans="2:12" ht="12.5">
      <c r="B150" s="109"/>
      <c r="L150" s="110"/>
    </row>
    <row r="151" spans="2:12" ht="12.5">
      <c r="B151" s="109"/>
      <c r="E151" s="4" t="s">
        <v>488</v>
      </c>
      <c r="F151" s="4">
        <v>132000</v>
      </c>
      <c r="H151" s="4" t="s">
        <v>545</v>
      </c>
      <c r="L151" s="110"/>
    </row>
    <row r="152" spans="2:12" ht="12.5">
      <c r="B152" s="113"/>
      <c r="C152" s="114"/>
      <c r="D152" s="114"/>
      <c r="E152" s="122" t="s">
        <v>523</v>
      </c>
      <c r="F152" s="189">
        <f>F151/460000</f>
        <v>0.28695652173913044</v>
      </c>
      <c r="G152" s="114"/>
      <c r="H152" s="114"/>
      <c r="I152" s="114"/>
      <c r="J152" s="114"/>
      <c r="K152" s="114"/>
      <c r="L152" s="115"/>
    </row>
    <row r="155" spans="2:12" ht="12.5">
      <c r="B155" s="105">
        <v>2013</v>
      </c>
      <c r="C155" s="107"/>
      <c r="D155" s="107"/>
      <c r="E155" s="107"/>
      <c r="F155" s="108"/>
      <c r="G155" s="107"/>
      <c r="H155" s="107"/>
      <c r="I155" s="107"/>
      <c r="J155" s="107"/>
      <c r="K155" s="107"/>
      <c r="L155" s="108"/>
    </row>
    <row r="156" spans="2:12" ht="12.5">
      <c r="B156" s="109"/>
      <c r="C156" s="4" t="s">
        <v>495</v>
      </c>
      <c r="D156" s="4" t="s">
        <v>171</v>
      </c>
      <c r="E156" s="4" t="s">
        <v>163</v>
      </c>
      <c r="F156" s="233" t="s">
        <v>164</v>
      </c>
      <c r="L156" s="110"/>
    </row>
    <row r="157" spans="2:12" ht="12.5">
      <c r="B157" s="71" t="s">
        <v>274</v>
      </c>
      <c r="C157" s="4">
        <v>52584000</v>
      </c>
      <c r="D157" s="4">
        <v>13891223.200999999</v>
      </c>
      <c r="E157" s="14">
        <v>3.9220000000000002</v>
      </c>
      <c r="F157" s="110">
        <f t="shared" ref="F157:F158" si="16">E157*D157</f>
        <v>54481377.394322</v>
      </c>
      <c r="L157" s="110"/>
    </row>
    <row r="158" spans="2:12" ht="12.5">
      <c r="B158" s="71" t="s">
        <v>280</v>
      </c>
      <c r="C158" s="4">
        <v>809000</v>
      </c>
      <c r="D158" s="4">
        <v>213715.19</v>
      </c>
      <c r="E158" s="33">
        <v>3.53</v>
      </c>
      <c r="F158" s="110">
        <f t="shared" si="16"/>
        <v>754414.62069999997</v>
      </c>
      <c r="L158" s="110"/>
    </row>
    <row r="159" spans="2:12" ht="12.5">
      <c r="B159" s="109"/>
      <c r="D159" s="34">
        <f>D158+D157</f>
        <v>14104938.390999999</v>
      </c>
      <c r="F159" s="363">
        <f>F158+F157</f>
        <v>55235792.015022002</v>
      </c>
      <c r="L159" s="110"/>
    </row>
    <row r="160" spans="2:12" ht="12.5">
      <c r="B160" s="109"/>
      <c r="L160" s="110"/>
    </row>
    <row r="161" spans="2:12" ht="13">
      <c r="B161" s="109"/>
      <c r="C161" s="418">
        <v>397688</v>
      </c>
      <c r="D161" s="4" t="s">
        <v>370</v>
      </c>
      <c r="I161" s="4" t="s">
        <v>163</v>
      </c>
      <c r="J161" s="4" t="s">
        <v>250</v>
      </c>
      <c r="L161" s="110"/>
    </row>
    <row r="162" spans="2:12" ht="13">
      <c r="B162" s="109"/>
      <c r="C162" s="420">
        <v>435.5</v>
      </c>
      <c r="D162" s="4" t="s">
        <v>548</v>
      </c>
      <c r="G162" s="4" t="s">
        <v>513</v>
      </c>
      <c r="H162" s="418">
        <v>1572265</v>
      </c>
      <c r="I162" s="420">
        <v>23.16</v>
      </c>
      <c r="J162">
        <f t="shared" ref="J162:J163" si="17">I162*H162</f>
        <v>36413657.399999999</v>
      </c>
      <c r="L162" s="110"/>
    </row>
    <row r="163" spans="2:12" ht="13">
      <c r="B163" s="109"/>
      <c r="C163" s="400" t="s">
        <v>549</v>
      </c>
      <c r="D163" s="4" t="s">
        <v>262</v>
      </c>
      <c r="G163" s="4" t="s">
        <v>514</v>
      </c>
      <c r="H163" s="418">
        <v>82615000</v>
      </c>
      <c r="I163" s="420">
        <v>3.24</v>
      </c>
      <c r="J163">
        <f t="shared" si="17"/>
        <v>267672600.00000003</v>
      </c>
      <c r="L163" s="110"/>
    </row>
    <row r="164" spans="2:12" ht="12.5">
      <c r="B164" s="109"/>
      <c r="J164">
        <f>J163+J162</f>
        <v>304086257.40000004</v>
      </c>
      <c r="L164" s="110"/>
    </row>
    <row r="165" spans="2:12" ht="12.5">
      <c r="B165" s="109"/>
      <c r="G165" s="4" t="s">
        <v>267</v>
      </c>
      <c r="H165" s="4" t="s">
        <v>254</v>
      </c>
      <c r="L165" s="110"/>
    </row>
    <row r="166" spans="2:12" ht="13">
      <c r="B166" s="109"/>
      <c r="G166" s="420">
        <v>779700000</v>
      </c>
      <c r="H166" s="34">
        <f>J164/G166</f>
        <v>0.39000417776067725</v>
      </c>
      <c r="L166" s="110"/>
    </row>
    <row r="167" spans="2:12" ht="12.5">
      <c r="B167" s="109"/>
      <c r="L167" s="110"/>
    </row>
    <row r="168" spans="2:12" ht="12.5">
      <c r="B168" s="109"/>
      <c r="D168" s="4" t="s">
        <v>545</v>
      </c>
      <c r="L168" s="110"/>
    </row>
    <row r="169" spans="2:12" ht="12.5">
      <c r="B169" s="109"/>
      <c r="E169" s="4" t="s">
        <v>553</v>
      </c>
      <c r="L169" s="110"/>
    </row>
    <row r="170" spans="2:12" ht="12.5">
      <c r="B170" s="109"/>
      <c r="L170" s="110"/>
    </row>
    <row r="171" spans="2:12" ht="12.5">
      <c r="B171" s="113"/>
      <c r="C171" s="114"/>
      <c r="D171" s="114"/>
      <c r="E171" s="114"/>
      <c r="F171" s="114"/>
      <c r="G171" s="114"/>
      <c r="H171" s="114"/>
      <c r="I171" s="114"/>
      <c r="J171" s="114"/>
      <c r="K171" s="114"/>
      <c r="L171" s="115"/>
    </row>
    <row r="174" spans="2:12" ht="12.5">
      <c r="B174" s="105">
        <v>2014</v>
      </c>
      <c r="C174" s="107"/>
      <c r="D174" s="107"/>
      <c r="E174" s="107"/>
      <c r="F174" s="108"/>
      <c r="G174" s="107"/>
      <c r="H174" s="107"/>
      <c r="I174" s="107"/>
      <c r="J174" s="107"/>
      <c r="K174" s="107"/>
      <c r="L174" s="108"/>
    </row>
    <row r="175" spans="2:12" ht="12.5">
      <c r="B175" s="109"/>
      <c r="C175" s="4" t="s">
        <v>495</v>
      </c>
      <c r="D175" s="4" t="s">
        <v>171</v>
      </c>
      <c r="E175" s="4" t="s">
        <v>163</v>
      </c>
      <c r="F175" s="233" t="s">
        <v>164</v>
      </c>
      <c r="L175" s="110"/>
    </row>
    <row r="176" spans="2:12" ht="12.5">
      <c r="B176" s="71" t="s">
        <v>274</v>
      </c>
      <c r="C176" s="4">
        <v>54351000</v>
      </c>
      <c r="D176" s="4">
        <v>14358015.218</v>
      </c>
      <c r="E176" s="14">
        <v>3.8250000000000002</v>
      </c>
      <c r="F176" s="110">
        <f t="shared" ref="F176:F177" si="18">E176*D176</f>
        <v>54919408.208850004</v>
      </c>
      <c r="L176" s="110"/>
    </row>
    <row r="177" spans="2:12" ht="12.5">
      <c r="B177" s="71" t="s">
        <v>280</v>
      </c>
      <c r="C177" s="4">
        <v>678000</v>
      </c>
      <c r="D177" s="4">
        <v>179108.65100000001</v>
      </c>
      <c r="E177" s="29">
        <v>3.37</v>
      </c>
      <c r="F177" s="110">
        <f t="shared" si="18"/>
        <v>603596.15387000004</v>
      </c>
      <c r="L177" s="110"/>
    </row>
    <row r="178" spans="2:12" ht="12.5">
      <c r="B178" s="109"/>
      <c r="D178" s="34">
        <f>D177+D176</f>
        <v>14537123.869000001</v>
      </c>
      <c r="F178" s="363">
        <f>F177+F176</f>
        <v>55523004.362720005</v>
      </c>
      <c r="L178" s="110"/>
    </row>
    <row r="179" spans="2:12" ht="12.5">
      <c r="B179" s="109"/>
      <c r="F179" s="110"/>
      <c r="L179" s="110"/>
    </row>
    <row r="180" spans="2:12" ht="12.5">
      <c r="B180" s="109"/>
      <c r="J180" s="4" t="s">
        <v>163</v>
      </c>
      <c r="L180" s="110"/>
    </row>
    <row r="181" spans="2:12" ht="13">
      <c r="B181" s="109"/>
      <c r="C181" s="425">
        <v>380135</v>
      </c>
      <c r="D181" s="4" t="s">
        <v>370</v>
      </c>
      <c r="H181" s="4" t="s">
        <v>514</v>
      </c>
      <c r="I181" s="4">
        <v>97600000</v>
      </c>
      <c r="J181" s="4">
        <v>3.02</v>
      </c>
      <c r="K181">
        <f t="shared" ref="K181:K182" si="19">J181*I181</f>
        <v>294752000</v>
      </c>
      <c r="L181" s="110"/>
    </row>
    <row r="182" spans="2:12" ht="13">
      <c r="B182" s="109"/>
      <c r="C182" s="426">
        <v>411.1</v>
      </c>
      <c r="D182" s="4" t="s">
        <v>164</v>
      </c>
      <c r="H182" s="4" t="s">
        <v>513</v>
      </c>
      <c r="I182" s="4">
        <v>1400000</v>
      </c>
      <c r="J182" s="4">
        <v>18.86</v>
      </c>
      <c r="K182">
        <f t="shared" si="19"/>
        <v>26404000</v>
      </c>
      <c r="L182" s="110"/>
    </row>
    <row r="183" spans="2:12" ht="13">
      <c r="B183" s="109"/>
      <c r="C183" s="427" t="s">
        <v>559</v>
      </c>
      <c r="D183" s="4" t="s">
        <v>262</v>
      </c>
      <c r="K183">
        <f>K182+K181</f>
        <v>321156000</v>
      </c>
      <c r="L183" s="110"/>
    </row>
    <row r="184" spans="2:12" ht="13">
      <c r="B184" s="109"/>
      <c r="H184" s="4" t="s">
        <v>267</v>
      </c>
      <c r="I184" s="428">
        <v>726000000</v>
      </c>
      <c r="L184" s="110"/>
    </row>
    <row r="185" spans="2:12" ht="12.5">
      <c r="B185" s="109"/>
      <c r="H185" s="4" t="s">
        <v>254</v>
      </c>
      <c r="I185" s="34">
        <f>K183/I184</f>
        <v>0.44236363636363635</v>
      </c>
      <c r="L185" s="110"/>
    </row>
    <row r="186" spans="2:12" ht="12.5">
      <c r="B186" s="109"/>
      <c r="L186" s="110"/>
    </row>
    <row r="187" spans="2:12" ht="12.5">
      <c r="B187" s="109"/>
      <c r="D187" s="4" t="s">
        <v>561</v>
      </c>
      <c r="L187" s="110"/>
    </row>
    <row r="188" spans="2:12" ht="12.5">
      <c r="B188" s="113"/>
      <c r="C188" s="114"/>
      <c r="D188" s="114"/>
      <c r="E188" s="114"/>
      <c r="F188" s="114"/>
      <c r="G188" s="114"/>
      <c r="H188" s="114"/>
      <c r="I188" s="114"/>
      <c r="J188" s="114"/>
      <c r="K188" s="114"/>
      <c r="L188" s="115"/>
    </row>
    <row r="191" spans="2:12" ht="12.5">
      <c r="B191" s="105">
        <v>2015</v>
      </c>
      <c r="C191" s="107"/>
      <c r="D191" s="107"/>
      <c r="E191" s="107"/>
      <c r="F191" s="108"/>
      <c r="G191" s="107"/>
      <c r="H191" s="107"/>
      <c r="I191" s="107"/>
      <c r="J191" s="107"/>
      <c r="K191" s="107"/>
      <c r="L191" s="108"/>
    </row>
    <row r="192" spans="2:12" ht="12.5">
      <c r="B192" s="109"/>
      <c r="C192" s="4" t="s">
        <v>495</v>
      </c>
      <c r="D192" s="4" t="s">
        <v>171</v>
      </c>
      <c r="E192" s="4" t="s">
        <v>163</v>
      </c>
      <c r="F192" s="233" t="s">
        <v>164</v>
      </c>
      <c r="L192" s="110"/>
    </row>
    <row r="193" spans="2:12" ht="12.5">
      <c r="B193" s="71" t="s">
        <v>274</v>
      </c>
      <c r="C193" s="4">
        <v>60659000</v>
      </c>
      <c r="D193" s="4">
        <v>16024412.524</v>
      </c>
      <c r="E193" s="14">
        <v>2.7069999999999999</v>
      </c>
      <c r="F193" s="110">
        <f t="shared" ref="F193:F194" si="20">E193*D193</f>
        <v>43378084.702468</v>
      </c>
      <c r="L193" s="110"/>
    </row>
    <row r="194" spans="2:12" ht="12.5">
      <c r="B194" s="71" t="s">
        <v>280</v>
      </c>
      <c r="C194" s="4">
        <v>1248000</v>
      </c>
      <c r="D194" s="4">
        <v>329686.72129999998</v>
      </c>
      <c r="E194" s="33">
        <v>2.4500000000000002</v>
      </c>
      <c r="F194" s="110">
        <f t="shared" si="20"/>
        <v>807732.46718499996</v>
      </c>
      <c r="L194" s="110"/>
    </row>
    <row r="195" spans="2:12" ht="12.5">
      <c r="B195" s="109"/>
      <c r="D195" s="34">
        <f>D194+D193</f>
        <v>16354099.245300001</v>
      </c>
      <c r="F195" s="363">
        <f>F194+F193</f>
        <v>44185817.169652998</v>
      </c>
      <c r="L195" s="110"/>
    </row>
    <row r="196" spans="2:12" ht="12.5">
      <c r="B196" s="109"/>
      <c r="L196" s="110"/>
    </row>
    <row r="197" spans="2:12" ht="12.5">
      <c r="B197" s="109"/>
      <c r="L197" s="110"/>
    </row>
    <row r="198" spans="2:12" ht="12.5">
      <c r="B198" s="109"/>
      <c r="L198" s="110"/>
    </row>
    <row r="199" spans="2:12" ht="13">
      <c r="B199" s="109"/>
      <c r="C199" s="431">
        <v>435718</v>
      </c>
      <c r="D199" s="4" t="s">
        <v>370</v>
      </c>
      <c r="I199" s="4" t="s">
        <v>163</v>
      </c>
      <c r="L199" s="110"/>
    </row>
    <row r="200" spans="2:12" ht="13">
      <c r="B200" s="109"/>
      <c r="C200" s="426">
        <v>419.6</v>
      </c>
      <c r="D200" s="4" t="s">
        <v>164</v>
      </c>
      <c r="G200" s="4" t="s">
        <v>514</v>
      </c>
      <c r="H200" s="426">
        <v>92900000</v>
      </c>
      <c r="I200" s="426">
        <v>2.42</v>
      </c>
      <c r="J200">
        <f t="shared" ref="J200:J201" si="21">I200*H200</f>
        <v>224818000</v>
      </c>
      <c r="L200" s="110"/>
    </row>
    <row r="201" spans="2:12" ht="13">
      <c r="B201" s="109"/>
      <c r="C201" s="434" t="s">
        <v>567</v>
      </c>
      <c r="D201" s="4" t="s">
        <v>262</v>
      </c>
      <c r="G201" s="4" t="s">
        <v>513</v>
      </c>
      <c r="H201" s="426">
        <v>1800000</v>
      </c>
      <c r="I201" s="426">
        <v>15.38</v>
      </c>
      <c r="J201">
        <f t="shared" si="21"/>
        <v>27684000</v>
      </c>
      <c r="L201" s="110"/>
    </row>
    <row r="202" spans="2:12" ht="12.5">
      <c r="B202" s="109"/>
      <c r="J202">
        <f>J201+J200</f>
        <v>252502000</v>
      </c>
      <c r="L202" s="110"/>
    </row>
    <row r="203" spans="2:12" ht="13">
      <c r="B203" s="109"/>
      <c r="G203" s="4" t="s">
        <v>267</v>
      </c>
      <c r="H203" s="426">
        <v>712900000</v>
      </c>
      <c r="L203" s="110"/>
    </row>
    <row r="204" spans="2:12" ht="12.5">
      <c r="B204" s="109"/>
      <c r="G204" s="4" t="s">
        <v>254</v>
      </c>
      <c r="H204" s="34">
        <f>J202/H203</f>
        <v>0.35418992846121478</v>
      </c>
      <c r="L204" s="110"/>
    </row>
    <row r="205" spans="2:12" ht="12.5">
      <c r="B205" s="109"/>
      <c r="L205" s="110"/>
    </row>
    <row r="206" spans="2:12" ht="12.5">
      <c r="B206" s="109"/>
      <c r="L206" s="110"/>
    </row>
    <row r="207" spans="2:12" ht="13">
      <c r="B207" s="109"/>
      <c r="C207" s="438" t="s">
        <v>568</v>
      </c>
      <c r="L207" s="110"/>
    </row>
    <row r="208" spans="2:12" ht="13">
      <c r="B208" s="109"/>
      <c r="C208" s="438" t="s">
        <v>569</v>
      </c>
      <c r="L208" s="110"/>
    </row>
    <row r="209" spans="2:12" ht="12.5">
      <c r="B209" s="109"/>
      <c r="L209" s="110"/>
    </row>
    <row r="210" spans="2:12" ht="12.5">
      <c r="B210" s="109"/>
      <c r="C210" s="4" t="s">
        <v>570</v>
      </c>
      <c r="D210">
        <f>4000000+3600000</f>
        <v>7600000</v>
      </c>
      <c r="L210" s="110"/>
    </row>
    <row r="211" spans="2:12" ht="12.5">
      <c r="B211" s="109"/>
      <c r="C211" s="4" t="s">
        <v>258</v>
      </c>
      <c r="D211" s="34">
        <f>D210/D195</f>
        <v>0.46471529162232289</v>
      </c>
      <c r="G211" s="4" t="s">
        <v>571</v>
      </c>
      <c r="L211" s="110"/>
    </row>
    <row r="212" spans="2:12" ht="12.5">
      <c r="B212" s="109"/>
      <c r="G212" s="4">
        <v>32000000</v>
      </c>
      <c r="L212" s="110"/>
    </row>
    <row r="213" spans="2:12" ht="12.5">
      <c r="B213" s="109"/>
      <c r="L213" s="110"/>
    </row>
    <row r="214" spans="2:12" ht="12.5">
      <c r="B214" s="109"/>
      <c r="L214" s="110"/>
    </row>
    <row r="215" spans="2:12" ht="12.5">
      <c r="B215" s="109"/>
      <c r="C215" s="1022" t="s">
        <v>574</v>
      </c>
      <c r="D215" s="996"/>
      <c r="E215" s="996"/>
      <c r="F215" s="996"/>
      <c r="G215" s="996"/>
      <c r="H215" s="996"/>
      <c r="I215" s="996"/>
      <c r="J215" s="996"/>
      <c r="L215" s="110"/>
    </row>
    <row r="216" spans="2:12" ht="12.5">
      <c r="B216" s="109"/>
      <c r="C216" s="996"/>
      <c r="D216" s="996"/>
      <c r="E216" s="996"/>
      <c r="F216" s="996"/>
      <c r="G216" s="996"/>
      <c r="H216" s="996"/>
      <c r="I216" s="996"/>
      <c r="J216" s="996"/>
      <c r="L216" s="110"/>
    </row>
    <row r="217" spans="2:12" ht="12.5">
      <c r="B217" s="109"/>
      <c r="C217" s="996"/>
      <c r="D217" s="996"/>
      <c r="E217" s="996"/>
      <c r="F217" s="996"/>
      <c r="G217" s="996"/>
      <c r="H217" s="996"/>
      <c r="I217" s="996"/>
      <c r="J217" s="996"/>
      <c r="L217" s="110"/>
    </row>
    <row r="218" spans="2:12" ht="12.5">
      <c r="B218" s="109"/>
      <c r="C218" s="996"/>
      <c r="D218" s="996"/>
      <c r="E218" s="996"/>
      <c r="F218" s="996"/>
      <c r="G218" s="996"/>
      <c r="H218" s="996"/>
      <c r="I218" s="996"/>
      <c r="J218" s="996"/>
      <c r="L218" s="110"/>
    </row>
    <row r="219" spans="2:12" ht="13">
      <c r="B219" s="109"/>
      <c r="D219" s="426">
        <v>147600000</v>
      </c>
      <c r="E219" s="4" t="s">
        <v>575</v>
      </c>
      <c r="H219" s="4" t="s">
        <v>576</v>
      </c>
      <c r="L219" s="110"/>
    </row>
    <row r="220" spans="2:12" ht="12.5">
      <c r="B220" s="113"/>
      <c r="C220" s="114"/>
      <c r="D220" s="114"/>
      <c r="E220" s="114"/>
      <c r="F220" s="114"/>
      <c r="G220" s="114"/>
      <c r="H220" s="114">
        <f>D219-G212</f>
        <v>115600000</v>
      </c>
      <c r="I220" s="114"/>
      <c r="J220" s="114"/>
      <c r="K220" s="114"/>
      <c r="L220" s="115"/>
    </row>
    <row r="224" spans="2:12" ht="12.5">
      <c r="B224" s="105">
        <v>2016</v>
      </c>
      <c r="C224" s="107"/>
      <c r="D224" s="107"/>
      <c r="E224" s="107"/>
      <c r="F224" s="108"/>
      <c r="G224" s="107"/>
      <c r="H224" s="107"/>
      <c r="I224" s="107"/>
      <c r="J224" s="107"/>
      <c r="K224" s="108"/>
    </row>
    <row r="225" spans="2:11" ht="12.5">
      <c r="B225" s="109"/>
      <c r="C225" s="4" t="s">
        <v>495</v>
      </c>
      <c r="D225" s="4" t="s">
        <v>171</v>
      </c>
      <c r="E225" s="4" t="s">
        <v>163</v>
      </c>
      <c r="F225" s="233" t="s">
        <v>164</v>
      </c>
      <c r="K225" s="110"/>
    </row>
    <row r="226" spans="2:11" ht="12.5">
      <c r="B226" s="71" t="s">
        <v>274</v>
      </c>
      <c r="C226" s="4">
        <v>69905000</v>
      </c>
      <c r="D226" s="4">
        <v>18466947.32</v>
      </c>
      <c r="E226" s="14">
        <v>2.3039999999999998</v>
      </c>
      <c r="F226" s="110">
        <f t="shared" ref="F226:F227" si="22">E226*D226</f>
        <v>42547846.62528</v>
      </c>
      <c r="K226" s="110"/>
    </row>
    <row r="227" spans="2:11" ht="12.5">
      <c r="B227" s="71" t="s">
        <v>280</v>
      </c>
      <c r="C227" s="4">
        <v>2329000</v>
      </c>
      <c r="D227" s="4">
        <v>615256.70990000002</v>
      </c>
      <c r="E227" s="29">
        <v>2.25</v>
      </c>
      <c r="F227" s="110">
        <f t="shared" si="22"/>
        <v>1384327.5972750001</v>
      </c>
      <c r="K227" s="110"/>
    </row>
    <row r="228" spans="2:11" ht="12.5">
      <c r="B228" s="109"/>
      <c r="D228" s="34">
        <f>D227+D226</f>
        <v>19082204.029899999</v>
      </c>
      <c r="F228" s="363">
        <f>F227+F226</f>
        <v>43932174.222554997</v>
      </c>
      <c r="K228" s="110"/>
    </row>
    <row r="229" spans="2:11" ht="12.5">
      <c r="B229" s="109"/>
      <c r="K229" s="110"/>
    </row>
    <row r="230" spans="2:11" ht="12.5">
      <c r="B230" s="109"/>
      <c r="K230" s="110"/>
    </row>
    <row r="231" spans="2:11" ht="13">
      <c r="B231" s="109"/>
      <c r="C231" s="451">
        <v>381663</v>
      </c>
      <c r="D231" s="4" t="s">
        <v>311</v>
      </c>
      <c r="I231" s="4" t="s">
        <v>163</v>
      </c>
      <c r="K231" s="110"/>
    </row>
    <row r="232" spans="2:11" ht="13">
      <c r="B232" s="109"/>
      <c r="C232" s="426">
        <v>365.8</v>
      </c>
      <c r="D232" s="4" t="s">
        <v>164</v>
      </c>
      <c r="G232" s="4" t="s">
        <v>514</v>
      </c>
      <c r="H232" s="426">
        <v>99200000</v>
      </c>
      <c r="I232" s="426">
        <v>2.23</v>
      </c>
      <c r="J232">
        <f t="shared" ref="J232:J233" si="23">I232*H232</f>
        <v>221216000</v>
      </c>
      <c r="K232" s="110"/>
    </row>
    <row r="233" spans="2:11" ht="13">
      <c r="B233" s="109"/>
      <c r="C233" s="454" t="s">
        <v>578</v>
      </c>
      <c r="D233" s="4" t="s">
        <v>262</v>
      </c>
      <c r="G233" s="4" t="s">
        <v>513</v>
      </c>
      <c r="H233" s="426">
        <v>1300000</v>
      </c>
      <c r="I233" s="426">
        <v>17.149999999999999</v>
      </c>
      <c r="J233">
        <f t="shared" si="23"/>
        <v>22295000</v>
      </c>
      <c r="K233" s="110"/>
    </row>
    <row r="234" spans="2:11" ht="12.5">
      <c r="B234" s="109"/>
      <c r="J234">
        <f>J233+J232</f>
        <v>243511000</v>
      </c>
      <c r="K234" s="110"/>
    </row>
    <row r="235" spans="2:11" ht="13">
      <c r="B235" s="109"/>
      <c r="G235" s="4" t="s">
        <v>267</v>
      </c>
      <c r="H235" s="457">
        <v>683800000</v>
      </c>
      <c r="K235" s="110"/>
    </row>
    <row r="236" spans="2:11" ht="12.5">
      <c r="B236" s="109"/>
      <c r="G236" s="4" t="s">
        <v>254</v>
      </c>
      <c r="H236" s="34">
        <f>J234/H235</f>
        <v>0.35611436092424686</v>
      </c>
      <c r="K236" s="110"/>
    </row>
    <row r="237" spans="2:11" ht="12.5">
      <c r="B237" s="109"/>
      <c r="K237" s="110"/>
    </row>
    <row r="238" spans="2:11" ht="12.5">
      <c r="B238" s="109"/>
      <c r="K238" s="110"/>
    </row>
    <row r="239" spans="2:11" ht="13">
      <c r="B239" s="109"/>
      <c r="C239" s="460" t="s">
        <v>580</v>
      </c>
      <c r="K239" s="110"/>
    </row>
    <row r="240" spans="2:11" ht="12.5">
      <c r="B240" s="109"/>
      <c r="C240" s="4" t="s">
        <v>258</v>
      </c>
      <c r="D240" s="4">
        <v>2000000</v>
      </c>
      <c r="E240" s="34">
        <f>D240/D228</f>
        <v>0.1048096958226728</v>
      </c>
      <c r="K240" s="110"/>
    </row>
    <row r="241" spans="2:11" ht="12.5">
      <c r="B241" s="109"/>
      <c r="K241" s="110"/>
    </row>
    <row r="242" spans="2:11" ht="12.5">
      <c r="B242" s="109"/>
      <c r="C242" s="462"/>
      <c r="D242" s="463" t="s">
        <v>584</v>
      </c>
      <c r="E242" s="463" t="s">
        <v>585</v>
      </c>
      <c r="F242" s="464" t="s">
        <v>586</v>
      </c>
      <c r="G242" s="463" t="s">
        <v>587</v>
      </c>
      <c r="K242" s="110"/>
    </row>
    <row r="243" spans="2:11" ht="13">
      <c r="B243" s="109"/>
      <c r="C243" s="465" t="s">
        <v>588</v>
      </c>
      <c r="D243" s="466"/>
      <c r="E243" s="467"/>
      <c r="F243" s="467"/>
      <c r="G243" s="467"/>
      <c r="K243" s="110"/>
    </row>
    <row r="244" spans="2:11" ht="13">
      <c r="B244" s="109"/>
      <c r="C244" s="468" t="s">
        <v>589</v>
      </c>
      <c r="D244" s="469" t="s">
        <v>590</v>
      </c>
      <c r="E244" s="469" t="s">
        <v>591</v>
      </c>
      <c r="F244" s="470">
        <v>1400</v>
      </c>
      <c r="G244" s="471">
        <v>-0.1</v>
      </c>
      <c r="K244" s="110"/>
    </row>
    <row r="245" spans="2:11" ht="13">
      <c r="B245" s="109"/>
      <c r="C245" s="468" t="s">
        <v>592</v>
      </c>
      <c r="D245" s="469" t="s">
        <v>590</v>
      </c>
      <c r="E245" s="469" t="s">
        <v>591</v>
      </c>
      <c r="F245" s="470">
        <v>1300</v>
      </c>
      <c r="G245" s="471">
        <v>17.7</v>
      </c>
      <c r="K245" s="110"/>
    </row>
    <row r="246" spans="2:11" ht="12.5">
      <c r="B246" s="109"/>
      <c r="K246" s="110"/>
    </row>
    <row r="247" spans="2:11" ht="12.5">
      <c r="B247" s="109"/>
      <c r="K247" s="110"/>
    </row>
    <row r="248" spans="2:11" ht="12.5">
      <c r="B248" s="109"/>
      <c r="C248" s="4" t="s">
        <v>107</v>
      </c>
      <c r="F248" s="4">
        <v>0.5</v>
      </c>
      <c r="K248" s="110"/>
    </row>
    <row r="249" spans="2:11" ht="13">
      <c r="B249" s="109"/>
      <c r="C249" s="4" t="s">
        <v>108</v>
      </c>
      <c r="F249" s="472">
        <v>1157.9000000000001</v>
      </c>
      <c r="H249" s="4" t="s">
        <v>255</v>
      </c>
      <c r="I249" s="34">
        <f>F255*120000-F254*120000</f>
        <v>-112736.15845577189</v>
      </c>
      <c r="K249" s="110"/>
    </row>
    <row r="250" spans="2:11" ht="12.5">
      <c r="B250" s="109"/>
      <c r="C250" s="4" t="s">
        <v>109</v>
      </c>
      <c r="F250" s="242">
        <v>6.1999999999999998E-3</v>
      </c>
      <c r="H250" s="4" t="s">
        <v>523</v>
      </c>
      <c r="I250">
        <f>-I249/405000</f>
        <v>0.27836088507597995</v>
      </c>
      <c r="K250" s="110"/>
    </row>
    <row r="251" spans="2:11" ht="14">
      <c r="B251" s="109"/>
      <c r="C251" s="4" t="s">
        <v>112</v>
      </c>
      <c r="F251" s="243">
        <v>0.107</v>
      </c>
      <c r="K251" s="110"/>
    </row>
    <row r="252" spans="2:11" ht="12.5">
      <c r="B252" s="109"/>
      <c r="C252" s="4" t="s">
        <v>114</v>
      </c>
      <c r="F252" s="4">
        <v>1400</v>
      </c>
      <c r="K252" s="110"/>
    </row>
    <row r="253" spans="2:11" ht="12.5">
      <c r="B253" s="109"/>
      <c r="C253" s="4" t="s">
        <v>115</v>
      </c>
      <c r="F253" s="4">
        <v>1300</v>
      </c>
      <c r="K253" s="110"/>
    </row>
    <row r="254" spans="2:11" ht="12.5">
      <c r="B254" s="109"/>
      <c r="C254" s="4" t="s">
        <v>117</v>
      </c>
      <c r="F254" s="4">
        <v>7.1429454030038928E-3</v>
      </c>
      <c r="K254" s="110"/>
    </row>
    <row r="255" spans="2:11" ht="12.5">
      <c r="B255" s="109"/>
      <c r="C255" s="4" t="s">
        <v>118</v>
      </c>
      <c r="F255" s="4">
        <v>-0.93232504172842856</v>
      </c>
      <c r="K255" s="110"/>
    </row>
    <row r="256" spans="2:11" ht="12.5">
      <c r="B256" s="109"/>
      <c r="K256" s="110"/>
    </row>
    <row r="257" spans="2:11" ht="12.5">
      <c r="B257" s="109"/>
      <c r="K257" s="110"/>
    </row>
    <row r="258" spans="2:11" ht="13">
      <c r="B258" s="109"/>
      <c r="D258" s="473">
        <v>246.5</v>
      </c>
      <c r="E258" s="4" t="s">
        <v>595</v>
      </c>
      <c r="K258" s="110"/>
    </row>
    <row r="259" spans="2:11" ht="12.5">
      <c r="B259" s="109"/>
      <c r="D259" s="4">
        <v>32</v>
      </c>
      <c r="E259" s="4" t="s">
        <v>596</v>
      </c>
      <c r="K259" s="110"/>
    </row>
    <row r="260" spans="2:11" ht="12.5">
      <c r="B260" s="109"/>
      <c r="D260">
        <f>D258-D259</f>
        <v>214.5</v>
      </c>
      <c r="K260" s="110"/>
    </row>
    <row r="261" spans="2:11" ht="12.5">
      <c r="B261" s="113"/>
      <c r="C261" s="114"/>
      <c r="D261" s="114"/>
      <c r="E261" s="114"/>
      <c r="F261" s="114"/>
      <c r="G261" s="114"/>
      <c r="H261" s="114"/>
      <c r="I261" s="114"/>
      <c r="J261" s="114"/>
      <c r="K261" s="115"/>
    </row>
    <row r="264" spans="2:11" ht="12.5">
      <c r="B264" s="71">
        <v>2017</v>
      </c>
      <c r="F264" s="110"/>
    </row>
    <row r="265" spans="2:11" ht="12.5">
      <c r="B265" s="109"/>
      <c r="C265" s="4" t="s">
        <v>495</v>
      </c>
      <c r="D265" s="4" t="s">
        <v>171</v>
      </c>
      <c r="E265" s="4" t="s">
        <v>163</v>
      </c>
      <c r="F265" s="233" t="s">
        <v>164</v>
      </c>
    </row>
    <row r="266" spans="2:11" ht="12.5">
      <c r="B266" s="71" t="s">
        <v>274</v>
      </c>
      <c r="C266" s="4">
        <v>33966281</v>
      </c>
      <c r="D266" s="4">
        <v>8972942.1626999993</v>
      </c>
      <c r="E266" s="14">
        <v>2.65</v>
      </c>
      <c r="F266" s="110">
        <f t="shared" ref="F266:F267" si="24">E266*D266</f>
        <v>23778296.731154997</v>
      </c>
    </row>
    <row r="267" spans="2:11" ht="12.5">
      <c r="B267" s="71" t="s">
        <v>280</v>
      </c>
      <c r="C267" s="4">
        <v>508925</v>
      </c>
      <c r="D267" s="4">
        <v>134443.76199999999</v>
      </c>
      <c r="E267" s="33">
        <v>2.528</v>
      </c>
      <c r="F267" s="110">
        <f t="shared" si="24"/>
        <v>339873.83033599996</v>
      </c>
    </row>
    <row r="268" spans="2:11" ht="12.5">
      <c r="B268" s="109"/>
      <c r="D268" s="34">
        <f>D267+D266</f>
        <v>9107385.9246999994</v>
      </c>
      <c r="F268" s="363">
        <f>F267+F266</f>
        <v>24118170.561490998</v>
      </c>
    </row>
    <row r="269" spans="2:11" ht="12.5">
      <c r="B269" s="109"/>
      <c r="F269" s="110"/>
    </row>
    <row r="272" spans="2:11" ht="13">
      <c r="C272" s="474">
        <v>317898</v>
      </c>
      <c r="D272" s="4" t="s">
        <v>370</v>
      </c>
    </row>
    <row r="273" spans="3:10" ht="13">
      <c r="C273" s="475">
        <v>321</v>
      </c>
      <c r="D273" s="4" t="s">
        <v>597</v>
      </c>
      <c r="I273" s="4" t="s">
        <v>163</v>
      </c>
    </row>
    <row r="274" spans="3:10" ht="13">
      <c r="C274" s="454" t="s">
        <v>600</v>
      </c>
      <c r="D274" s="4" t="s">
        <v>262</v>
      </c>
      <c r="G274" s="4" t="s">
        <v>514</v>
      </c>
      <c r="H274" s="475">
        <v>84500000</v>
      </c>
      <c r="I274" s="475">
        <v>2.66</v>
      </c>
      <c r="J274">
        <f t="shared" ref="J274:J275" si="25">I274*H274</f>
        <v>224770000</v>
      </c>
    </row>
    <row r="275" spans="3:10" ht="13">
      <c r="G275" s="4" t="s">
        <v>513</v>
      </c>
      <c r="H275" s="475">
        <v>900000</v>
      </c>
      <c r="I275" s="475">
        <v>16.88</v>
      </c>
      <c r="J275">
        <f t="shared" si="25"/>
        <v>15192000</v>
      </c>
    </row>
    <row r="276" spans="3:10" ht="12.5">
      <c r="J276">
        <f>J275+J274</f>
        <v>239962000</v>
      </c>
    </row>
    <row r="277" spans="3:10" ht="13">
      <c r="G277" s="4" t="s">
        <v>267</v>
      </c>
      <c r="H277" s="474">
        <v>604400000</v>
      </c>
    </row>
    <row r="278" spans="3:10" ht="12.5">
      <c r="G278" s="4" t="s">
        <v>254</v>
      </c>
      <c r="H278" s="34">
        <f>J276/H277</f>
        <v>0.39702514890800794</v>
      </c>
    </row>
    <row r="280" spans="3:10" ht="12.5">
      <c r="C280" s="4" t="s">
        <v>610</v>
      </c>
    </row>
    <row r="281" spans="3:10" ht="12.5">
      <c r="C281" s="4" t="s">
        <v>611</v>
      </c>
    </row>
    <row r="283" spans="3:10" ht="13">
      <c r="G283" s="426">
        <v>290.5</v>
      </c>
      <c r="H283" s="4" t="s">
        <v>612</v>
      </c>
    </row>
    <row r="285" spans="3:10" ht="12.5">
      <c r="G285" s="4" t="s">
        <v>613</v>
      </c>
    </row>
  </sheetData>
  <mergeCells count="3">
    <mergeCell ref="F13:K13"/>
    <mergeCell ref="C104:J105"/>
    <mergeCell ref="C215:J2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Q174"/>
  <sheetViews>
    <sheetView workbookViewId="0"/>
  </sheetViews>
  <sheetFormatPr defaultColWidth="14.453125" defaultRowHeight="15.75" customHeight="1"/>
  <cols>
    <col min="2" max="2" width="17.453125" customWidth="1"/>
    <col min="3" max="3" width="16" customWidth="1"/>
  </cols>
  <sheetData>
    <row r="2" spans="2:17" ht="15.75" customHeight="1">
      <c r="B2" s="380">
        <v>2009</v>
      </c>
      <c r="C2" s="106" t="s">
        <v>598</v>
      </c>
      <c r="D2" s="106">
        <v>30.1</v>
      </c>
      <c r="E2" s="106" t="s">
        <v>601</v>
      </c>
      <c r="F2" s="107"/>
      <c r="G2" s="106" t="s">
        <v>603</v>
      </c>
      <c r="H2" s="107"/>
      <c r="I2" s="107"/>
      <c r="J2" s="107"/>
      <c r="K2" s="108"/>
      <c r="M2" s="476" t="s">
        <v>604</v>
      </c>
    </row>
    <row r="3" spans="2:17" ht="15.75" customHeight="1">
      <c r="B3" s="109"/>
      <c r="K3" s="110"/>
      <c r="M3" s="476" t="s">
        <v>605</v>
      </c>
    </row>
    <row r="4" spans="2:17" ht="15.75" customHeight="1">
      <c r="B4" s="109"/>
      <c r="C4" s="4" t="s">
        <v>606</v>
      </c>
      <c r="D4" s="4" t="s">
        <v>424</v>
      </c>
      <c r="E4" s="4" t="s">
        <v>285</v>
      </c>
      <c r="G4" s="155" t="s">
        <v>607</v>
      </c>
      <c r="I4" s="54">
        <v>281300000</v>
      </c>
      <c r="K4" s="110"/>
      <c r="M4" s="476" t="s">
        <v>608</v>
      </c>
    </row>
    <row r="5" spans="2:17" ht="15.75" customHeight="1">
      <c r="B5" s="71" t="s">
        <v>609</v>
      </c>
      <c r="C5" s="477">
        <v>0.34</v>
      </c>
      <c r="D5" s="477">
        <v>0.09</v>
      </c>
      <c r="K5" s="110"/>
      <c r="M5" s="476" t="s">
        <v>614</v>
      </c>
    </row>
    <row r="6" spans="2:17" ht="15.75" customHeight="1">
      <c r="B6" s="71" t="s">
        <v>601</v>
      </c>
      <c r="C6">
        <f>D2*C5</f>
        <v>10.234000000000002</v>
      </c>
      <c r="D6">
        <f>D5*D2</f>
        <v>2.7090000000000001</v>
      </c>
      <c r="G6" s="997" t="s">
        <v>615</v>
      </c>
      <c r="H6" s="996"/>
      <c r="I6" s="996"/>
      <c r="J6" s="996"/>
      <c r="K6" s="998"/>
    </row>
    <row r="7" spans="2:17" ht="15.75" customHeight="1">
      <c r="B7" s="71" t="s">
        <v>171</v>
      </c>
      <c r="C7" s="4">
        <v>69847119</v>
      </c>
      <c r="D7" s="4">
        <v>18488943</v>
      </c>
      <c r="E7" s="34">
        <f>D7+C7</f>
        <v>88336062</v>
      </c>
      <c r="G7" s="996"/>
      <c r="H7" s="996"/>
      <c r="I7" s="996"/>
      <c r="J7" s="996"/>
      <c r="K7" s="998"/>
    </row>
    <row r="8" spans="2:17" ht="15.75" customHeight="1">
      <c r="B8" s="71" t="s">
        <v>163</v>
      </c>
      <c r="C8" s="14">
        <v>2.4670000000000001</v>
      </c>
      <c r="D8" s="95">
        <v>1.65</v>
      </c>
      <c r="G8" s="996"/>
      <c r="H8" s="996"/>
      <c r="I8" s="996"/>
      <c r="J8" s="996"/>
      <c r="K8" s="998"/>
      <c r="O8" s="4" t="s">
        <v>163</v>
      </c>
    </row>
    <row r="9" spans="2:17" ht="15.75" customHeight="1">
      <c r="B9" s="71" t="s">
        <v>164</v>
      </c>
      <c r="C9" s="4">
        <f t="shared" ref="C9:D9" si="0">C7*C8</f>
        <v>172312842.57300001</v>
      </c>
      <c r="D9" s="306">
        <f t="shared" si="0"/>
        <v>30506755.949999999</v>
      </c>
      <c r="E9" s="307">
        <f>D9+C9</f>
        <v>202819598.523</v>
      </c>
      <c r="G9" s="54">
        <v>4600000</v>
      </c>
      <c r="K9" s="110"/>
      <c r="L9" s="4" t="s">
        <v>616</v>
      </c>
      <c r="M9" s="155">
        <v>1400000</v>
      </c>
      <c r="N9" s="4" t="s">
        <v>617</v>
      </c>
      <c r="O9" s="478">
        <v>55.7</v>
      </c>
      <c r="P9" s="184">
        <f>O9*M9</f>
        <v>77980000</v>
      </c>
    </row>
    <row r="10" spans="2:17" ht="15.75" customHeight="1">
      <c r="B10" s="109"/>
      <c r="H10" s="479"/>
      <c r="I10" s="479"/>
      <c r="J10" s="479"/>
      <c r="K10" s="480" t="s">
        <v>620</v>
      </c>
      <c r="L10" s="4" t="s">
        <v>621</v>
      </c>
      <c r="M10" s="155">
        <v>450000</v>
      </c>
      <c r="N10" s="4" t="s">
        <v>622</v>
      </c>
    </row>
    <row r="11" spans="2:17" ht="15.75" customHeight="1">
      <c r="B11" s="109"/>
      <c r="H11" s="479"/>
      <c r="I11" s="481">
        <v>3490000</v>
      </c>
      <c r="J11" s="479">
        <f>I11/G9</f>
        <v>0.75869565217391299</v>
      </c>
      <c r="K11" s="482">
        <v>0.76</v>
      </c>
      <c r="L11" s="4" t="s">
        <v>513</v>
      </c>
      <c r="M11" s="4">
        <v>2000000</v>
      </c>
      <c r="N11" s="4" t="s">
        <v>521</v>
      </c>
      <c r="O11" s="478">
        <v>14.66</v>
      </c>
      <c r="P11">
        <f>O11*M11</f>
        <v>29320000</v>
      </c>
    </row>
    <row r="12" spans="2:17" ht="15.75" customHeight="1">
      <c r="B12" s="109"/>
      <c r="C12" s="484">
        <v>-13582</v>
      </c>
      <c r="D12" s="106" t="s">
        <v>623</v>
      </c>
      <c r="E12" s="107"/>
      <c r="F12" s="107"/>
      <c r="G12" s="108"/>
      <c r="H12" s="1024" t="s">
        <v>624</v>
      </c>
      <c r="I12" s="996"/>
      <c r="J12" s="996"/>
      <c r="K12" s="998"/>
      <c r="P12" s="184">
        <f>P11+P9</f>
        <v>107300000</v>
      </c>
    </row>
    <row r="13" spans="2:17" ht="15.75" customHeight="1">
      <c r="B13" s="109"/>
      <c r="C13" s="488">
        <v>-436666</v>
      </c>
      <c r="D13" s="4" t="s">
        <v>521</v>
      </c>
      <c r="E13" s="490">
        <f>C13/G9</f>
        <v>-9.4927391304347825E-2</v>
      </c>
      <c r="F13" s="4" t="s">
        <v>626</v>
      </c>
      <c r="G13" s="110"/>
      <c r="H13" s="996"/>
      <c r="I13" s="996"/>
      <c r="J13" s="996"/>
      <c r="K13" s="998"/>
    </row>
    <row r="14" spans="2:17" ht="15.75" customHeight="1">
      <c r="B14" s="109"/>
      <c r="C14" s="492">
        <v>0.09</v>
      </c>
      <c r="D14" s="114"/>
      <c r="E14" s="114"/>
      <c r="F14" s="114"/>
      <c r="G14" s="115"/>
      <c r="H14" s="996"/>
      <c r="I14" s="996"/>
      <c r="J14" s="996"/>
      <c r="K14" s="998"/>
      <c r="L14" s="155">
        <v>3490000</v>
      </c>
      <c r="O14" s="494">
        <v>3954000000</v>
      </c>
    </row>
    <row r="15" spans="2:17" ht="15.75" customHeight="1">
      <c r="B15" s="113"/>
      <c r="C15" s="114"/>
      <c r="D15" s="114"/>
      <c r="E15" s="114"/>
      <c r="F15" s="114"/>
      <c r="G15" s="114"/>
      <c r="H15" s="1008"/>
      <c r="I15" s="1008"/>
      <c r="J15" s="1008"/>
      <c r="K15" s="1025"/>
      <c r="L15">
        <f>L14/G9</f>
        <v>0.75869565217391299</v>
      </c>
      <c r="M15" s="4" t="s">
        <v>258</v>
      </c>
      <c r="P15" s="34">
        <f>P12/O14</f>
        <v>2.7137076378351038E-2</v>
      </c>
      <c r="Q15" s="4" t="s">
        <v>254</v>
      </c>
    </row>
    <row r="18" spans="2:17" ht="15.75" customHeight="1">
      <c r="B18" s="380">
        <v>2010</v>
      </c>
      <c r="C18" s="106" t="s">
        <v>627</v>
      </c>
      <c r="D18" s="106" t="s">
        <v>628</v>
      </c>
      <c r="E18" s="107"/>
      <c r="F18" s="107"/>
      <c r="G18" s="107"/>
      <c r="H18" s="107"/>
      <c r="I18" s="107"/>
      <c r="J18" s="107"/>
      <c r="K18" s="107"/>
      <c r="L18" s="108"/>
    </row>
    <row r="19" spans="2:17" ht="15.75" customHeight="1">
      <c r="B19" s="109"/>
      <c r="C19" s="4" t="s">
        <v>629</v>
      </c>
      <c r="L19" s="110"/>
    </row>
    <row r="20" spans="2:17" ht="15.75" customHeight="1">
      <c r="B20" s="109"/>
      <c r="C20" s="20" t="s">
        <v>631</v>
      </c>
      <c r="L20" s="110"/>
    </row>
    <row r="21" spans="2:17" ht="15.75" customHeight="1">
      <c r="B21" s="71" t="s">
        <v>634</v>
      </c>
      <c r="L21" s="110"/>
      <c r="N21" s="497"/>
    </row>
    <row r="22" spans="2:17" ht="12.5">
      <c r="C22" s="4" t="s">
        <v>635</v>
      </c>
      <c r="D22" s="4" t="s">
        <v>171</v>
      </c>
      <c r="E22" s="4" t="s">
        <v>163</v>
      </c>
      <c r="G22" s="498" t="s">
        <v>637</v>
      </c>
      <c r="L22" s="110"/>
      <c r="N22" s="497"/>
    </row>
    <row r="23" spans="2:17" ht="12.5">
      <c r="B23" s="4" t="s">
        <v>274</v>
      </c>
      <c r="C23" s="4">
        <v>2807000</v>
      </c>
      <c r="D23" s="4">
        <v>68968058</v>
      </c>
      <c r="E23" s="14">
        <v>2.992</v>
      </c>
      <c r="F23">
        <f t="shared" ref="F23:F25" si="1">D23*E23</f>
        <v>206352429.53600001</v>
      </c>
      <c r="L23" s="110"/>
    </row>
    <row r="24" spans="2:17" ht="12.5">
      <c r="B24" s="4" t="s">
        <v>280</v>
      </c>
      <c r="C24" s="4">
        <v>11000</v>
      </c>
      <c r="D24" s="4">
        <v>300546</v>
      </c>
      <c r="E24" s="29">
        <v>2.79</v>
      </c>
      <c r="F24">
        <f t="shared" si="1"/>
        <v>838523.34</v>
      </c>
      <c r="G24" s="57">
        <v>3550000000</v>
      </c>
      <c r="H24" s="4" t="s">
        <v>248</v>
      </c>
      <c r="L24" s="110"/>
    </row>
    <row r="25" spans="2:17" ht="15.5">
      <c r="B25" s="4" t="s">
        <v>639</v>
      </c>
      <c r="C25" s="4">
        <v>746000</v>
      </c>
      <c r="D25" s="4">
        <v>18329238</v>
      </c>
      <c r="E25" s="95">
        <v>2.13</v>
      </c>
      <c r="F25" s="183">
        <f t="shared" si="1"/>
        <v>39041276.939999998</v>
      </c>
      <c r="G25" s="499"/>
      <c r="L25" s="110"/>
      <c r="N25" s="501">
        <v>1462000</v>
      </c>
      <c r="O25" s="4" t="s">
        <v>641</v>
      </c>
      <c r="P25" s="478">
        <v>61.68</v>
      </c>
      <c r="Q25">
        <f t="shared" ref="Q25:Q26" si="2">P25*N25</f>
        <v>90176160</v>
      </c>
    </row>
    <row r="26" spans="2:17" ht="13">
      <c r="B26" s="4" t="s">
        <v>285</v>
      </c>
      <c r="D26" s="34">
        <f>D25+D24+D23</f>
        <v>87597842</v>
      </c>
      <c r="F26" s="307">
        <f>F25+F24+F23</f>
        <v>246232229.81600001</v>
      </c>
      <c r="G26" s="503" t="s">
        <v>646</v>
      </c>
      <c r="H26" s="504"/>
      <c r="I26" s="504"/>
      <c r="J26" s="505">
        <v>4515</v>
      </c>
      <c r="L26" s="110"/>
      <c r="N26" s="4">
        <v>2600000</v>
      </c>
      <c r="O26" s="4" t="s">
        <v>513</v>
      </c>
      <c r="P26" s="508">
        <v>20.190000000000001</v>
      </c>
      <c r="Q26">
        <f t="shared" si="2"/>
        <v>52494000</v>
      </c>
    </row>
    <row r="27" spans="2:17" ht="12.5">
      <c r="G27" s="499"/>
      <c r="L27" s="110"/>
    </row>
    <row r="28" spans="2:17" ht="12.5">
      <c r="B28" s="109"/>
      <c r="G28" s="1023" t="s">
        <v>648</v>
      </c>
      <c r="H28" s="996"/>
      <c r="I28" s="996"/>
      <c r="J28" s="996"/>
      <c r="K28" s="996"/>
      <c r="L28" s="998"/>
      <c r="O28" s="4" t="s">
        <v>650</v>
      </c>
      <c r="P28" s="501">
        <v>5334000000</v>
      </c>
    </row>
    <row r="29" spans="2:17" ht="12.5">
      <c r="B29" s="109"/>
      <c r="G29" s="996"/>
      <c r="H29" s="996"/>
      <c r="I29" s="996"/>
      <c r="J29" s="996"/>
      <c r="K29" s="996"/>
      <c r="L29" s="998"/>
      <c r="O29" s="4" t="s">
        <v>254</v>
      </c>
      <c r="P29" s="34">
        <f>(Q26+Q25)/P28</f>
        <v>2.6747311586051745E-2</v>
      </c>
    </row>
    <row r="30" spans="2:17" ht="12.5">
      <c r="B30" s="109"/>
      <c r="G30" s="996"/>
      <c r="H30" s="996"/>
      <c r="I30" s="996"/>
      <c r="J30" s="996"/>
      <c r="K30" s="996"/>
      <c r="L30" s="998"/>
    </row>
    <row r="31" spans="2:17" ht="12.5">
      <c r="B31" s="109"/>
      <c r="L31" s="110"/>
    </row>
    <row r="32" spans="2:17" ht="12.5">
      <c r="B32" s="113"/>
      <c r="C32" s="114"/>
      <c r="D32" s="114"/>
      <c r="E32" s="114"/>
      <c r="F32" s="114"/>
      <c r="G32" s="114"/>
      <c r="H32" s="114"/>
      <c r="I32" s="114"/>
      <c r="J32" s="114"/>
      <c r="K32" s="114"/>
      <c r="L32" s="115"/>
    </row>
    <row r="34" spans="2:12" ht="12.5">
      <c r="B34" s="4"/>
    </row>
    <row r="37" spans="2:12" ht="18">
      <c r="B37" s="380">
        <v>2011</v>
      </c>
      <c r="C37" s="106" t="s">
        <v>654</v>
      </c>
      <c r="D37" s="107"/>
      <c r="E37" s="107"/>
      <c r="F37" s="107"/>
      <c r="G37" s="107"/>
      <c r="H37" s="107"/>
      <c r="I37" s="511" t="s">
        <v>655</v>
      </c>
      <c r="J37" s="512"/>
      <c r="K37" s="512"/>
      <c r="L37" s="513">
        <v>4331</v>
      </c>
    </row>
    <row r="38" spans="2:12" ht="13">
      <c r="B38" s="71"/>
      <c r="C38" s="20" t="s">
        <v>656</v>
      </c>
      <c r="H38" s="182"/>
      <c r="L38" s="110"/>
    </row>
    <row r="39" spans="2:12" ht="12.5">
      <c r="B39" s="109"/>
      <c r="C39" s="4" t="s">
        <v>635</v>
      </c>
      <c r="D39" s="4" t="s">
        <v>171</v>
      </c>
      <c r="E39" s="4" t="s">
        <v>163</v>
      </c>
      <c r="H39" s="57">
        <v>3892000000</v>
      </c>
      <c r="I39" s="4" t="s">
        <v>248</v>
      </c>
      <c r="L39" s="110"/>
    </row>
    <row r="40" spans="2:12" ht="12.5">
      <c r="B40" s="71" t="s">
        <v>274</v>
      </c>
      <c r="C40" s="155">
        <v>3023000</v>
      </c>
      <c r="D40" s="155">
        <v>74275184</v>
      </c>
      <c r="E40" s="14">
        <v>3.84</v>
      </c>
      <c r="F40" s="184">
        <f t="shared" ref="F40:F42" si="3">D40*E40</f>
        <v>285216706.56</v>
      </c>
      <c r="H40" s="275" t="s">
        <v>663</v>
      </c>
      <c r="L40" s="110"/>
    </row>
    <row r="41" spans="2:12" ht="12.5">
      <c r="B41" s="71" t="s">
        <v>280</v>
      </c>
      <c r="C41" s="155">
        <v>10000</v>
      </c>
      <c r="D41" s="155">
        <v>273224</v>
      </c>
      <c r="E41" s="33">
        <v>3.53</v>
      </c>
      <c r="F41" s="184">
        <f t="shared" si="3"/>
        <v>964480.72</v>
      </c>
      <c r="L41" s="110"/>
    </row>
    <row r="42" spans="2:12" ht="15.5">
      <c r="B42" s="71" t="s">
        <v>639</v>
      </c>
      <c r="C42" s="155">
        <v>646000</v>
      </c>
      <c r="D42" s="155">
        <v>15872235</v>
      </c>
      <c r="E42" s="95">
        <v>2.95</v>
      </c>
      <c r="F42" s="184">
        <f t="shared" si="3"/>
        <v>46823093.25</v>
      </c>
      <c r="H42" s="4" t="s">
        <v>235</v>
      </c>
      <c r="L42" s="110"/>
    </row>
    <row r="43" spans="2:12" ht="12.5">
      <c r="B43" s="71" t="s">
        <v>285</v>
      </c>
      <c r="D43" s="185">
        <f>D42+D41+D40</f>
        <v>90420643</v>
      </c>
      <c r="F43" s="185">
        <f>F42+F41+F40</f>
        <v>333004280.52999997</v>
      </c>
      <c r="I43" s="34">
        <v>6.3835850669706429E-2</v>
      </c>
      <c r="J43" s="4" t="s">
        <v>668</v>
      </c>
      <c r="L43" s="110"/>
    </row>
    <row r="44" spans="2:12" ht="12.5">
      <c r="B44" s="113"/>
      <c r="C44" s="114"/>
      <c r="D44" s="114"/>
      <c r="E44" s="114"/>
      <c r="F44" s="114"/>
      <c r="G44" s="114"/>
      <c r="H44" s="114"/>
      <c r="I44" s="114"/>
      <c r="J44" s="114"/>
      <c r="K44" s="114"/>
      <c r="L44" s="115"/>
    </row>
    <row r="46" spans="2:12" ht="12.5">
      <c r="B46" s="139"/>
      <c r="C46" s="107"/>
      <c r="D46" s="107"/>
      <c r="E46" s="107"/>
      <c r="F46" s="107"/>
      <c r="G46" s="107"/>
      <c r="H46" s="107"/>
      <c r="I46" s="108"/>
    </row>
    <row r="47" spans="2:12" ht="18">
      <c r="B47" s="518">
        <v>2012</v>
      </c>
      <c r="C47" s="20" t="s">
        <v>670</v>
      </c>
      <c r="I47" s="110"/>
    </row>
    <row r="48" spans="2:12" ht="12.5">
      <c r="B48" s="109"/>
      <c r="C48" s="4" t="s">
        <v>674</v>
      </c>
      <c r="F48" s="4" t="s">
        <v>171</v>
      </c>
      <c r="G48" s="4" t="s">
        <v>163</v>
      </c>
      <c r="H48" s="4" t="s">
        <v>164</v>
      </c>
      <c r="I48" s="110"/>
    </row>
    <row r="49" spans="2:9" ht="12.5">
      <c r="B49" s="109"/>
      <c r="C49" s="4" t="s">
        <v>675</v>
      </c>
      <c r="E49" s="155">
        <v>600</v>
      </c>
      <c r="I49" s="110"/>
    </row>
    <row r="50" spans="2:9" ht="12.5">
      <c r="B50" s="109"/>
      <c r="C50" s="4" t="s">
        <v>676</v>
      </c>
      <c r="E50" s="155">
        <v>115400</v>
      </c>
      <c r="F50" s="184"/>
      <c r="I50" s="110"/>
    </row>
    <row r="51" spans="2:9" ht="12.5">
      <c r="B51" s="109"/>
      <c r="C51" s="4" t="s">
        <v>677</v>
      </c>
      <c r="E51" s="155">
        <v>3294850</v>
      </c>
      <c r="F51" s="155">
        <v>80954545</v>
      </c>
      <c r="G51" s="14">
        <v>3.968</v>
      </c>
      <c r="H51">
        <f>F51*G51</f>
        <v>321227634.56</v>
      </c>
      <c r="I51" s="110"/>
    </row>
    <row r="52" spans="2:9" ht="12.5">
      <c r="B52" s="109"/>
      <c r="C52" s="4" t="s">
        <v>679</v>
      </c>
      <c r="E52" s="155">
        <v>3250</v>
      </c>
      <c r="F52" s="184"/>
      <c r="I52" s="110"/>
    </row>
    <row r="53" spans="2:9" ht="12.5">
      <c r="B53" s="109"/>
      <c r="C53" s="4" t="s">
        <v>680</v>
      </c>
      <c r="E53" s="155">
        <v>12850</v>
      </c>
      <c r="F53" s="155">
        <v>351092</v>
      </c>
      <c r="G53" s="29">
        <v>3.64</v>
      </c>
      <c r="H53">
        <f>F53*G53</f>
        <v>1277974.8800000001</v>
      </c>
      <c r="I53" s="110"/>
    </row>
    <row r="54" spans="2:9" ht="12.5">
      <c r="B54" s="109"/>
      <c r="C54" s="4" t="s">
        <v>682</v>
      </c>
      <c r="E54" s="155">
        <v>531400</v>
      </c>
      <c r="F54" s="184"/>
      <c r="I54" s="110"/>
    </row>
    <row r="55" spans="2:9" ht="12.5">
      <c r="B55" s="109"/>
      <c r="C55" s="4" t="s">
        <v>684</v>
      </c>
      <c r="E55" s="155">
        <v>2550</v>
      </c>
      <c r="F55" s="184"/>
      <c r="I55" s="110"/>
    </row>
    <row r="56" spans="2:9" ht="15.5">
      <c r="B56" s="109"/>
      <c r="C56" s="122" t="s">
        <v>686</v>
      </c>
      <c r="D56" s="114"/>
      <c r="E56" s="521">
        <v>504700</v>
      </c>
      <c r="F56" s="521">
        <v>12400491</v>
      </c>
      <c r="G56" s="95">
        <v>3.02</v>
      </c>
      <c r="H56" s="183">
        <f>G56*F56</f>
        <v>37449482.82</v>
      </c>
      <c r="I56" s="110"/>
    </row>
    <row r="57" spans="2:9" ht="12.5">
      <c r="B57" s="109"/>
      <c r="C57" s="4" t="s">
        <v>285</v>
      </c>
      <c r="F57" s="185">
        <f>F56+F53+F51</f>
        <v>93706128</v>
      </c>
      <c r="H57" s="185">
        <f>SUM(H51:H56)</f>
        <v>359955092.25999999</v>
      </c>
      <c r="I57" s="110"/>
    </row>
    <row r="58" spans="2:9" ht="12.5">
      <c r="B58" s="109"/>
      <c r="I58" s="110"/>
    </row>
    <row r="59" spans="2:9" ht="12.5">
      <c r="B59" s="109"/>
      <c r="I59" s="110"/>
    </row>
    <row r="60" spans="2:9" ht="13">
      <c r="B60" s="109"/>
      <c r="C60" s="261" t="s">
        <v>655</v>
      </c>
      <c r="D60" s="361"/>
      <c r="E60" s="361"/>
      <c r="F60" s="178">
        <v>3944</v>
      </c>
      <c r="I60" s="110"/>
    </row>
    <row r="61" spans="2:9" ht="13">
      <c r="B61" s="109"/>
      <c r="C61" s="182"/>
      <c r="D61" s="524" t="s">
        <v>690</v>
      </c>
      <c r="E61" s="289" t="s">
        <v>692</v>
      </c>
      <c r="F61" s="360"/>
      <c r="I61" s="110"/>
    </row>
    <row r="62" spans="2:9" ht="12.5">
      <c r="B62" s="109"/>
      <c r="C62" s="275" t="s">
        <v>693</v>
      </c>
      <c r="I62" s="110"/>
    </row>
    <row r="63" spans="2:9" ht="12.5">
      <c r="B63" s="109"/>
      <c r="E63" s="67">
        <v>4250000</v>
      </c>
      <c r="I63" s="110"/>
    </row>
    <row r="64" spans="2:9" ht="12.5">
      <c r="B64" s="109"/>
      <c r="I64" s="110"/>
    </row>
    <row r="65" spans="2:9" ht="12.5">
      <c r="B65" s="109"/>
      <c r="C65" s="4" t="s">
        <v>235</v>
      </c>
      <c r="G65">
        <v>6.090169992609018E-2</v>
      </c>
      <c r="H65" s="4" t="s">
        <v>254</v>
      </c>
      <c r="I65" s="110"/>
    </row>
    <row r="66" spans="2:9" ht="12.5">
      <c r="B66" s="113"/>
      <c r="C66" s="114"/>
      <c r="D66" s="114"/>
      <c r="E66" s="114"/>
      <c r="F66" s="114"/>
      <c r="G66" s="114"/>
      <c r="H66" s="114"/>
      <c r="I66" s="115"/>
    </row>
    <row r="69" spans="2:9" ht="18">
      <c r="B69" s="380">
        <v>2013</v>
      </c>
      <c r="C69" s="107"/>
      <c r="D69" s="107"/>
      <c r="E69" s="107"/>
      <c r="F69" s="107"/>
      <c r="G69" s="107"/>
      <c r="H69" s="107"/>
      <c r="I69" s="108"/>
    </row>
    <row r="70" spans="2:9" ht="13">
      <c r="B70" s="372"/>
      <c r="C70" s="525" t="s">
        <v>694</v>
      </c>
      <c r="D70" s="526" t="s">
        <v>298</v>
      </c>
      <c r="E70" s="360"/>
      <c r="H70" s="4" t="s">
        <v>696</v>
      </c>
      <c r="I70" s="110"/>
    </row>
    <row r="71" spans="2:9" ht="13">
      <c r="B71" s="109"/>
      <c r="C71" s="261" t="s">
        <v>655</v>
      </c>
      <c r="D71" s="361"/>
      <c r="E71" s="361"/>
      <c r="F71" s="527">
        <v>4105</v>
      </c>
      <c r="H71" s="34">
        <v>5.1423641069887838E-2</v>
      </c>
      <c r="I71" s="110"/>
    </row>
    <row r="72" spans="2:9" ht="13">
      <c r="B72" s="528" t="s">
        <v>697</v>
      </c>
      <c r="C72" s="182"/>
      <c r="I72" s="110"/>
    </row>
    <row r="73" spans="2:9" ht="12.5">
      <c r="B73" s="109"/>
      <c r="I73" s="110"/>
    </row>
    <row r="74" spans="2:9" ht="12.5">
      <c r="B74" s="109"/>
      <c r="C74" s="4" t="s">
        <v>235</v>
      </c>
      <c r="I74" s="110"/>
    </row>
    <row r="75" spans="2:9" ht="12.5">
      <c r="B75" s="109"/>
      <c r="I75" s="110"/>
    </row>
    <row r="76" spans="2:9" ht="12.5">
      <c r="B76" s="109"/>
      <c r="D76" s="4" t="s">
        <v>635</v>
      </c>
      <c r="E76" s="4" t="s">
        <v>171</v>
      </c>
      <c r="F76" s="4" t="s">
        <v>163</v>
      </c>
      <c r="I76" s="110"/>
    </row>
    <row r="77" spans="2:9" ht="12.5">
      <c r="B77" s="109"/>
      <c r="C77" s="4" t="s">
        <v>274</v>
      </c>
      <c r="D77" s="4">
        <v>3698336</v>
      </c>
      <c r="E77" s="4">
        <v>90868206</v>
      </c>
      <c r="F77" s="14">
        <v>3.9220000000000002</v>
      </c>
      <c r="G77">
        <f t="shared" ref="G77:G79" si="4">E77*F77</f>
        <v>356385103.93200004</v>
      </c>
      <c r="I77" s="110"/>
    </row>
    <row r="78" spans="2:9" ht="12.5">
      <c r="B78" s="109"/>
      <c r="C78" s="4" t="s">
        <v>280</v>
      </c>
      <c r="D78" s="4">
        <v>12183</v>
      </c>
      <c r="E78" s="4">
        <v>332868</v>
      </c>
      <c r="F78" s="33">
        <v>3.53</v>
      </c>
      <c r="G78">
        <f t="shared" si="4"/>
        <v>1175024.04</v>
      </c>
      <c r="I78" s="110"/>
    </row>
    <row r="79" spans="2:9" ht="15.5">
      <c r="B79" s="109"/>
      <c r="C79" s="4" t="s">
        <v>639</v>
      </c>
      <c r="D79" s="4">
        <v>332162</v>
      </c>
      <c r="E79" s="4">
        <v>8161228</v>
      </c>
      <c r="F79" s="95">
        <v>2.92</v>
      </c>
      <c r="G79" s="183">
        <f t="shared" si="4"/>
        <v>23830785.759999998</v>
      </c>
      <c r="I79" s="110"/>
    </row>
    <row r="80" spans="2:9" ht="12.5">
      <c r="B80" s="109"/>
      <c r="C80" s="4" t="s">
        <v>285</v>
      </c>
      <c r="E80" s="34">
        <f>E79+E78+E77</f>
        <v>99362302</v>
      </c>
      <c r="G80" s="307">
        <f>G79+G78+G77</f>
        <v>381390913.73200005</v>
      </c>
      <c r="I80" s="110"/>
    </row>
    <row r="81" spans="2:10" ht="12.5">
      <c r="B81" s="109"/>
      <c r="I81" s="110"/>
    </row>
    <row r="82" spans="2:10" ht="12.5">
      <c r="B82" s="113"/>
      <c r="C82" s="114"/>
      <c r="D82" s="114"/>
      <c r="E82" s="114"/>
      <c r="F82" s="114"/>
      <c r="G82" s="114"/>
      <c r="H82" s="114"/>
      <c r="I82" s="115"/>
    </row>
    <row r="84" spans="2:10" ht="18">
      <c r="B84" s="380">
        <v>2014</v>
      </c>
      <c r="C84" s="107"/>
      <c r="D84" s="106" t="s">
        <v>635</v>
      </c>
      <c r="E84" s="106" t="s">
        <v>171</v>
      </c>
      <c r="F84" s="106" t="s">
        <v>163</v>
      </c>
      <c r="G84" s="107"/>
      <c r="H84" s="107"/>
      <c r="I84" s="107"/>
      <c r="J84" s="108"/>
    </row>
    <row r="85" spans="2:10" ht="12.5">
      <c r="B85" s="109"/>
      <c r="C85" s="4" t="s">
        <v>274</v>
      </c>
      <c r="D85" s="4">
        <v>3888000</v>
      </c>
      <c r="E85" s="4">
        <v>95528255</v>
      </c>
      <c r="F85" s="14">
        <v>3.8250000000000002</v>
      </c>
      <c r="G85">
        <f t="shared" ref="G85:G87" si="5">E85*F85</f>
        <v>365395575.375</v>
      </c>
      <c r="J85" s="110"/>
    </row>
    <row r="86" spans="2:10" ht="12.5">
      <c r="B86" s="109"/>
      <c r="C86" s="4" t="s">
        <v>280</v>
      </c>
      <c r="D86" s="4">
        <v>14000</v>
      </c>
      <c r="E86" s="4">
        <v>382513</v>
      </c>
      <c r="F86" s="29">
        <v>3.37</v>
      </c>
      <c r="G86">
        <f t="shared" si="5"/>
        <v>1289068.81</v>
      </c>
      <c r="J86" s="110"/>
    </row>
    <row r="87" spans="2:10" ht="15.5">
      <c r="B87" s="109"/>
      <c r="C87" s="4" t="s">
        <v>639</v>
      </c>
      <c r="D87" s="4">
        <v>323000</v>
      </c>
      <c r="E87" s="4">
        <v>7936117</v>
      </c>
      <c r="F87" s="95">
        <v>2.69</v>
      </c>
      <c r="G87" s="183">
        <f t="shared" si="5"/>
        <v>21348154.73</v>
      </c>
      <c r="J87" s="110"/>
    </row>
    <row r="88" spans="2:10" ht="12.5">
      <c r="B88" s="109"/>
      <c r="C88" s="4" t="s">
        <v>285</v>
      </c>
      <c r="E88" s="34">
        <f>E87+E86+E85</f>
        <v>103846885</v>
      </c>
      <c r="G88" s="307">
        <f>G87+G86+G85</f>
        <v>388032798.91500002</v>
      </c>
      <c r="J88" s="110"/>
    </row>
    <row r="89" spans="2:10" ht="12.5">
      <c r="B89" s="109"/>
      <c r="J89" s="110"/>
    </row>
    <row r="90" spans="2:10" ht="12.5">
      <c r="B90" s="109"/>
      <c r="J90" s="110"/>
    </row>
    <row r="91" spans="2:10" ht="13">
      <c r="B91" s="109"/>
      <c r="C91" s="538" t="s">
        <v>705</v>
      </c>
      <c r="D91" s="180" t="s">
        <v>79</v>
      </c>
      <c r="J91" s="110"/>
    </row>
    <row r="92" spans="2:10" ht="13">
      <c r="B92" s="109"/>
      <c r="D92" s="261" t="s">
        <v>655</v>
      </c>
      <c r="E92" s="361"/>
      <c r="F92" s="361"/>
      <c r="G92" s="527">
        <v>4436</v>
      </c>
      <c r="J92" s="110"/>
    </row>
    <row r="93" spans="2:10" ht="13">
      <c r="B93" s="109"/>
      <c r="C93" s="275" t="s">
        <v>707</v>
      </c>
      <c r="D93" s="182"/>
      <c r="J93" s="110"/>
    </row>
    <row r="94" spans="2:10" ht="12.5">
      <c r="B94" s="109"/>
      <c r="J94" s="110"/>
    </row>
    <row r="95" spans="2:10" ht="12.5">
      <c r="B95" s="109"/>
      <c r="D95" s="4" t="s">
        <v>235</v>
      </c>
      <c r="J95" s="110"/>
    </row>
    <row r="96" spans="2:10" ht="12.5">
      <c r="B96" s="109"/>
      <c r="J96" s="110"/>
    </row>
    <row r="97" spans="2:10" ht="13">
      <c r="B97" s="109"/>
      <c r="C97" s="539">
        <v>3</v>
      </c>
      <c r="D97" s="361"/>
      <c r="E97" s="540" t="s">
        <v>709</v>
      </c>
      <c r="F97" s="361"/>
      <c r="G97" s="361"/>
      <c r="H97" s="361"/>
      <c r="I97" s="361"/>
      <c r="J97" s="110"/>
    </row>
    <row r="98" spans="2:10" ht="13">
      <c r="B98" s="109"/>
      <c r="C98" s="364"/>
      <c r="D98" s="360"/>
      <c r="E98" s="289" t="s">
        <v>710</v>
      </c>
      <c r="F98" s="360"/>
      <c r="G98" s="366">
        <v>2014</v>
      </c>
      <c r="H98" s="366">
        <v>2013</v>
      </c>
      <c r="I98" s="366">
        <v>2012</v>
      </c>
      <c r="J98" s="233">
        <v>2011</v>
      </c>
    </row>
    <row r="99" spans="2:10" ht="13">
      <c r="B99" s="109"/>
      <c r="C99" s="541"/>
      <c r="D99" s="361"/>
      <c r="E99" s="290" t="s">
        <v>713</v>
      </c>
      <c r="F99" s="361"/>
      <c r="G99" s="542">
        <v>5218</v>
      </c>
      <c r="H99" s="543">
        <v>5497</v>
      </c>
      <c r="I99" s="543">
        <v>6353</v>
      </c>
      <c r="J99" s="544">
        <v>6570</v>
      </c>
    </row>
    <row r="100" spans="2:10" ht="13">
      <c r="B100" s="109"/>
      <c r="C100" s="364"/>
      <c r="D100" s="360"/>
      <c r="E100" s="289" t="s">
        <v>714</v>
      </c>
      <c r="F100" s="360"/>
      <c r="G100" s="525">
        <v>132</v>
      </c>
      <c r="H100" s="288">
        <v>149</v>
      </c>
      <c r="I100" s="288">
        <v>206</v>
      </c>
      <c r="J100" s="545">
        <v>224</v>
      </c>
    </row>
    <row r="101" spans="2:10" ht="13">
      <c r="B101" s="109"/>
      <c r="C101" s="541"/>
      <c r="D101" s="361"/>
      <c r="E101" s="290" t="s">
        <v>715</v>
      </c>
      <c r="F101" s="361"/>
      <c r="G101" s="546">
        <v>69</v>
      </c>
      <c r="H101" s="547">
        <v>80</v>
      </c>
      <c r="I101" s="547">
        <v>95</v>
      </c>
      <c r="J101" s="549">
        <v>99</v>
      </c>
    </row>
    <row r="102" spans="2:10" ht="13">
      <c r="B102" s="109"/>
      <c r="C102" s="364"/>
      <c r="D102" s="360"/>
      <c r="E102" s="289" t="s">
        <v>720</v>
      </c>
      <c r="F102" s="360"/>
      <c r="G102" s="525">
        <v>47</v>
      </c>
      <c r="H102" s="288">
        <v>54</v>
      </c>
      <c r="I102" s="288">
        <v>90</v>
      </c>
      <c r="J102" s="545">
        <v>99</v>
      </c>
    </row>
    <row r="103" spans="2:10" ht="13">
      <c r="B103" s="109"/>
      <c r="C103" s="541"/>
      <c r="D103" s="361"/>
      <c r="E103" s="290" t="s">
        <v>721</v>
      </c>
      <c r="F103" s="361"/>
      <c r="G103" s="546">
        <v>15</v>
      </c>
      <c r="H103" s="547">
        <v>13</v>
      </c>
      <c r="I103" s="547">
        <v>19</v>
      </c>
      <c r="J103" s="549">
        <v>22</v>
      </c>
    </row>
    <row r="104" spans="2:10" ht="13">
      <c r="B104" s="109"/>
      <c r="C104" s="364"/>
      <c r="D104" s="360"/>
      <c r="E104" s="289" t="s">
        <v>723</v>
      </c>
      <c r="F104" s="360"/>
      <c r="G104" s="525">
        <v>1</v>
      </c>
      <c r="H104" s="288">
        <v>2</v>
      </c>
      <c r="I104" s="288">
        <v>2</v>
      </c>
      <c r="J104" s="545">
        <v>4</v>
      </c>
    </row>
    <row r="105" spans="2:10" ht="12.5">
      <c r="B105" s="109"/>
      <c r="D105" s="4" t="s">
        <v>285</v>
      </c>
      <c r="G105" s="184">
        <f t="shared" ref="G105:J105" si="6">G104+G103+G102+G101+G100+G99</f>
        <v>5482</v>
      </c>
      <c r="H105" s="184">
        <f t="shared" si="6"/>
        <v>5795</v>
      </c>
      <c r="I105" s="184">
        <f t="shared" si="6"/>
        <v>6765</v>
      </c>
      <c r="J105" s="553">
        <f t="shared" si="6"/>
        <v>7018</v>
      </c>
    </row>
    <row r="106" spans="2:10" ht="12.5">
      <c r="B106" s="109"/>
      <c r="D106" s="4" t="s">
        <v>729</v>
      </c>
      <c r="G106" s="34">
        <f t="shared" ref="G106:J106" si="7">1-(G99/G105)</f>
        <v>4.8157606712878498E-2</v>
      </c>
      <c r="H106">
        <f t="shared" si="7"/>
        <v>5.1423641069887838E-2</v>
      </c>
      <c r="I106">
        <f t="shared" si="7"/>
        <v>6.090169992609018E-2</v>
      </c>
      <c r="J106" s="110">
        <f t="shared" si="7"/>
        <v>6.3835850669706429E-2</v>
      </c>
    </row>
    <row r="107" spans="2:10" ht="12.5">
      <c r="B107" s="113"/>
      <c r="C107" s="114"/>
      <c r="D107" s="114"/>
      <c r="E107" s="114"/>
      <c r="F107" s="114"/>
      <c r="G107" s="114"/>
      <c r="H107" s="114"/>
      <c r="I107" s="114"/>
      <c r="J107" s="115"/>
    </row>
    <row r="110" spans="2:10" ht="18">
      <c r="B110" s="380">
        <v>2015</v>
      </c>
      <c r="C110" s="107"/>
      <c r="D110" s="106" t="s">
        <v>635</v>
      </c>
      <c r="E110" s="106" t="s">
        <v>171</v>
      </c>
      <c r="F110" s="106" t="s">
        <v>163</v>
      </c>
      <c r="G110" s="107"/>
      <c r="H110" s="107"/>
      <c r="I110" s="108"/>
    </row>
    <row r="111" spans="2:10" ht="12.5">
      <c r="B111" s="109"/>
      <c r="C111" s="4" t="s">
        <v>274</v>
      </c>
      <c r="D111" s="4">
        <v>3776900</v>
      </c>
      <c r="E111" s="4">
        <v>92798525</v>
      </c>
      <c r="F111" s="14">
        <v>2.7069999999999999</v>
      </c>
      <c r="G111">
        <f t="shared" ref="G111:G113" si="8">E111*F111</f>
        <v>251205607.17499998</v>
      </c>
      <c r="I111" s="110"/>
    </row>
    <row r="112" spans="2:10" ht="12.5">
      <c r="B112" s="109"/>
      <c r="C112" s="4" t="s">
        <v>280</v>
      </c>
      <c r="D112" s="4">
        <v>13400</v>
      </c>
      <c r="E112" s="4">
        <v>366120</v>
      </c>
      <c r="F112" s="33">
        <v>2.4500000000000002</v>
      </c>
      <c r="G112">
        <f t="shared" si="8"/>
        <v>896994.00000000012</v>
      </c>
      <c r="I112" s="110"/>
    </row>
    <row r="113" spans="2:9" ht="15.5">
      <c r="B113" s="109"/>
      <c r="C113" s="4" t="s">
        <v>639</v>
      </c>
      <c r="D113" s="4">
        <v>333600</v>
      </c>
      <c r="E113" s="4">
        <v>8196560</v>
      </c>
      <c r="F113" s="95">
        <v>1.54</v>
      </c>
      <c r="G113" s="183">
        <f t="shared" si="8"/>
        <v>12622702.4</v>
      </c>
      <c r="I113" s="110"/>
    </row>
    <row r="114" spans="2:9" ht="12.5">
      <c r="B114" s="109"/>
      <c r="C114" s="4" t="s">
        <v>285</v>
      </c>
      <c r="E114" s="34">
        <f>E113+E112+E111</f>
        <v>101361205</v>
      </c>
      <c r="G114" s="307">
        <f>G113+G112+G111</f>
        <v>264725303.57499999</v>
      </c>
      <c r="I114" s="110"/>
    </row>
    <row r="115" spans="2:9" ht="12.5">
      <c r="B115" s="109"/>
      <c r="I115" s="110"/>
    </row>
    <row r="116" spans="2:9" ht="12.5">
      <c r="B116" s="109"/>
      <c r="I116" s="110"/>
    </row>
    <row r="117" spans="2:9" ht="13">
      <c r="B117" s="109"/>
      <c r="C117" s="261" t="s">
        <v>730</v>
      </c>
      <c r="D117" s="361"/>
      <c r="E117" s="361"/>
      <c r="F117" s="527">
        <v>3947</v>
      </c>
      <c r="G117" s="361"/>
      <c r="I117" s="110"/>
    </row>
    <row r="118" spans="2:9" ht="12.5">
      <c r="B118" s="528" t="s">
        <v>732</v>
      </c>
      <c r="I118" s="110"/>
    </row>
    <row r="119" spans="2:9" ht="12.5">
      <c r="B119" s="556" t="s">
        <v>733</v>
      </c>
      <c r="I119" s="110"/>
    </row>
    <row r="120" spans="2:9" ht="12.5">
      <c r="B120" s="109"/>
      <c r="I120" s="110"/>
    </row>
    <row r="121" spans="2:9" ht="12.5">
      <c r="B121" s="109"/>
      <c r="C121" s="4" t="s">
        <v>235</v>
      </c>
      <c r="F121" s="4">
        <v>2015</v>
      </c>
      <c r="I121" s="110"/>
    </row>
    <row r="122" spans="2:9" ht="13">
      <c r="B122" s="558" t="s">
        <v>735</v>
      </c>
      <c r="C122" s="361"/>
      <c r="D122" s="361"/>
      <c r="E122" s="361"/>
      <c r="F122" s="361"/>
      <c r="I122" s="110"/>
    </row>
    <row r="123" spans="2:9" ht="13">
      <c r="B123" s="560"/>
      <c r="C123" s="360"/>
      <c r="D123" s="289" t="s">
        <v>710</v>
      </c>
      <c r="E123" s="360"/>
      <c r="F123" s="360"/>
      <c r="I123" s="110"/>
    </row>
    <row r="124" spans="2:9" ht="13">
      <c r="B124" s="562"/>
      <c r="C124" s="361"/>
      <c r="D124" s="290" t="s">
        <v>713</v>
      </c>
      <c r="E124" s="361"/>
      <c r="F124" s="542">
        <v>4015</v>
      </c>
      <c r="I124" s="110"/>
    </row>
    <row r="125" spans="2:9" ht="13">
      <c r="B125" s="560"/>
      <c r="C125" s="360"/>
      <c r="D125" s="289" t="s">
        <v>714</v>
      </c>
      <c r="E125" s="360"/>
      <c r="F125" s="525">
        <v>127</v>
      </c>
      <c r="I125" s="110"/>
    </row>
    <row r="126" spans="2:9" ht="13">
      <c r="B126" s="562"/>
      <c r="C126" s="361"/>
      <c r="D126" s="290" t="s">
        <v>715</v>
      </c>
      <c r="E126" s="361"/>
      <c r="F126" s="546">
        <v>72</v>
      </c>
      <c r="I126" s="110"/>
    </row>
    <row r="127" spans="2:9" ht="13">
      <c r="B127" s="560"/>
      <c r="C127" s="360"/>
      <c r="D127" s="289" t="s">
        <v>720</v>
      </c>
      <c r="E127" s="360"/>
      <c r="F127" s="525">
        <v>37</v>
      </c>
      <c r="I127" s="110"/>
    </row>
    <row r="128" spans="2:9" ht="13">
      <c r="B128" s="562"/>
      <c r="C128" s="361"/>
      <c r="D128" s="290" t="s">
        <v>721</v>
      </c>
      <c r="E128" s="361"/>
      <c r="F128" s="546">
        <v>17</v>
      </c>
      <c r="I128" s="110"/>
    </row>
    <row r="129" spans="2:9" ht="13">
      <c r="B129" s="560"/>
      <c r="C129" s="360"/>
      <c r="D129" s="289" t="s">
        <v>723</v>
      </c>
      <c r="E129" s="360"/>
      <c r="F129" s="366">
        <v>1</v>
      </c>
      <c r="G129" s="360"/>
      <c r="I129" s="110"/>
    </row>
    <row r="130" spans="2:9" ht="13">
      <c r="B130" s="564"/>
      <c r="D130" s="4" t="s">
        <v>285</v>
      </c>
      <c r="F130">
        <f>SUM(F123:F128)</f>
        <v>4268</v>
      </c>
      <c r="I130" s="110"/>
    </row>
    <row r="131" spans="2:9" ht="12.5">
      <c r="B131" s="113"/>
      <c r="C131" s="114"/>
      <c r="D131" s="122" t="s">
        <v>254</v>
      </c>
      <c r="E131" s="114"/>
      <c r="F131" s="189">
        <f>1-(F124/F130)</f>
        <v>5.9278350515463929E-2</v>
      </c>
      <c r="G131" s="114"/>
      <c r="H131" s="114"/>
      <c r="I131" s="115"/>
    </row>
    <row r="135" spans="2:9" ht="18">
      <c r="B135" s="380">
        <v>2016</v>
      </c>
      <c r="C135" s="107"/>
      <c r="D135" s="106" t="s">
        <v>635</v>
      </c>
      <c r="E135" s="106" t="s">
        <v>171</v>
      </c>
      <c r="F135" s="106" t="s">
        <v>163</v>
      </c>
      <c r="G135" s="107"/>
      <c r="H135" s="108"/>
    </row>
    <row r="136" spans="2:9" ht="12.5">
      <c r="B136" s="109"/>
      <c r="C136" s="4" t="s">
        <v>274</v>
      </c>
      <c r="D136" s="4">
        <v>3366271</v>
      </c>
      <c r="E136" s="4">
        <v>82709361</v>
      </c>
      <c r="F136" s="14">
        <v>2.3039999999999998</v>
      </c>
      <c r="G136">
        <f t="shared" ref="G136:G138" si="9">E136*F136</f>
        <v>190562367.74399999</v>
      </c>
      <c r="H136" s="110"/>
    </row>
    <row r="137" spans="2:9" ht="12.5">
      <c r="B137" s="109"/>
      <c r="C137" s="4" t="s">
        <v>280</v>
      </c>
      <c r="D137" s="4">
        <v>6300</v>
      </c>
      <c r="E137" s="4">
        <v>172131</v>
      </c>
      <c r="F137" s="29">
        <v>2.25</v>
      </c>
      <c r="G137">
        <f t="shared" si="9"/>
        <v>387294.75</v>
      </c>
      <c r="H137" s="110"/>
    </row>
    <row r="138" spans="2:9" ht="15.5">
      <c r="B138" s="109"/>
      <c r="C138" s="4" t="s">
        <v>639</v>
      </c>
      <c r="D138" s="4">
        <v>327572</v>
      </c>
      <c r="E138" s="4">
        <v>8048452</v>
      </c>
      <c r="F138" s="95">
        <v>1.29</v>
      </c>
      <c r="G138" s="183">
        <f t="shared" si="9"/>
        <v>10382503.08</v>
      </c>
      <c r="H138" s="110"/>
    </row>
    <row r="139" spans="2:9" ht="12.5">
      <c r="B139" s="109"/>
      <c r="C139" s="4" t="s">
        <v>285</v>
      </c>
      <c r="E139" s="34">
        <f>E138+E137+E136</f>
        <v>90929944</v>
      </c>
      <c r="G139" s="307">
        <f>G138+G137+G136</f>
        <v>201332165.574</v>
      </c>
      <c r="H139" s="110"/>
    </row>
    <row r="140" spans="2:9" ht="12.5">
      <c r="B140" s="109"/>
      <c r="H140" s="110"/>
    </row>
    <row r="141" spans="2:9" ht="13">
      <c r="B141" s="109"/>
      <c r="C141" s="270" t="s">
        <v>730</v>
      </c>
      <c r="D141" s="361"/>
      <c r="E141" s="361"/>
      <c r="F141" s="264">
        <v>3628</v>
      </c>
      <c r="H141" s="110"/>
    </row>
    <row r="142" spans="2:9" ht="13">
      <c r="B142" s="528" t="s">
        <v>739</v>
      </c>
      <c r="C142" s="182"/>
      <c r="H142" s="110"/>
    </row>
    <row r="143" spans="2:9" ht="12.5">
      <c r="B143" s="109"/>
      <c r="C143" s="538" t="s">
        <v>740</v>
      </c>
      <c r="D143" s="4" t="s">
        <v>79</v>
      </c>
      <c r="H143" s="110"/>
    </row>
    <row r="144" spans="2:9" ht="12.5">
      <c r="B144" s="109"/>
      <c r="H144" s="110"/>
    </row>
    <row r="145" spans="2:8" ht="12.5">
      <c r="B145" s="109"/>
      <c r="H145" s="110"/>
    </row>
    <row r="146" spans="2:8" ht="13">
      <c r="B146" s="109"/>
      <c r="C146" s="360"/>
      <c r="D146" s="289" t="s">
        <v>710</v>
      </c>
      <c r="E146" s="360"/>
      <c r="F146" s="360"/>
      <c r="G146" s="360"/>
      <c r="H146" s="110"/>
    </row>
    <row r="147" spans="2:8" ht="13">
      <c r="B147" s="109"/>
      <c r="C147" s="541"/>
      <c r="D147" s="361"/>
      <c r="E147" s="290" t="s">
        <v>713</v>
      </c>
      <c r="F147" s="361"/>
      <c r="G147" s="542">
        <v>4085</v>
      </c>
      <c r="H147" s="110"/>
    </row>
    <row r="148" spans="2:8" ht="13">
      <c r="B148" s="109"/>
      <c r="C148" s="364"/>
      <c r="D148" s="360"/>
      <c r="E148" s="289" t="s">
        <v>742</v>
      </c>
      <c r="F148" s="360"/>
      <c r="G148" s="525">
        <v>138</v>
      </c>
      <c r="H148" s="110"/>
    </row>
    <row r="149" spans="2:8" ht="13">
      <c r="B149" s="109"/>
      <c r="C149" s="182"/>
      <c r="G149" s="34">
        <f>G148/G147</f>
        <v>3.3782129742962054E-2</v>
      </c>
      <c r="H149" s="110"/>
    </row>
    <row r="150" spans="2:8" ht="12.5">
      <c r="B150" s="109"/>
      <c r="C150" s="4" t="s">
        <v>235</v>
      </c>
      <c r="H150" s="110"/>
    </row>
    <row r="151" spans="2:8" ht="12.5">
      <c r="B151" s="109"/>
      <c r="H151" s="110"/>
    </row>
    <row r="152" spans="2:8" ht="12.5">
      <c r="B152" s="109"/>
      <c r="H152" s="110"/>
    </row>
    <row r="153" spans="2:8" ht="12.5">
      <c r="B153" s="113"/>
      <c r="C153" s="114"/>
      <c r="D153" s="114"/>
      <c r="E153" s="114"/>
      <c r="F153" s="114"/>
      <c r="G153" s="114"/>
      <c r="H153" s="115"/>
    </row>
    <row r="156" spans="2:8" ht="18">
      <c r="B156" s="380">
        <v>2017</v>
      </c>
      <c r="C156" s="107"/>
      <c r="D156" s="106" t="s">
        <v>635</v>
      </c>
      <c r="E156" s="106" t="s">
        <v>171</v>
      </c>
      <c r="F156" s="106" t="s">
        <v>163</v>
      </c>
      <c r="G156" s="107"/>
      <c r="H156" s="108"/>
    </row>
    <row r="157" spans="2:8" ht="12.5">
      <c r="B157" s="109"/>
      <c r="C157" s="4" t="s">
        <v>274</v>
      </c>
      <c r="D157" s="4">
        <v>2892936</v>
      </c>
      <c r="E157" s="4">
        <v>71079508</v>
      </c>
      <c r="F157" s="14">
        <v>2.65</v>
      </c>
      <c r="G157">
        <f t="shared" ref="G157:G159" si="10">E157*F157</f>
        <v>188360696.19999999</v>
      </c>
      <c r="H157" s="110"/>
    </row>
    <row r="158" spans="2:8" ht="12.5">
      <c r="B158" s="109"/>
      <c r="C158" s="4" t="s">
        <v>280</v>
      </c>
      <c r="D158" s="4">
        <v>4048</v>
      </c>
      <c r="E158" s="4">
        <v>110601</v>
      </c>
      <c r="F158" s="33">
        <v>2.528</v>
      </c>
      <c r="G158">
        <f t="shared" si="10"/>
        <v>279599.32799999998</v>
      </c>
      <c r="H158" s="110"/>
    </row>
    <row r="159" spans="2:8" ht="15.5">
      <c r="B159" s="109"/>
      <c r="C159" s="4" t="s">
        <v>639</v>
      </c>
      <c r="D159" s="4">
        <v>298583</v>
      </c>
      <c r="E159" s="4">
        <v>7336191</v>
      </c>
      <c r="F159" s="95">
        <v>1.58</v>
      </c>
      <c r="G159" s="183">
        <f t="shared" si="10"/>
        <v>11591181.780000001</v>
      </c>
      <c r="H159" s="110"/>
    </row>
    <row r="160" spans="2:8" ht="12.5">
      <c r="B160" s="109"/>
      <c r="C160" s="4" t="s">
        <v>285</v>
      </c>
      <c r="E160" s="34">
        <f>E159+E158+E157</f>
        <v>78526300</v>
      </c>
      <c r="G160" s="307">
        <f>G159+G158+G157</f>
        <v>200231477.308</v>
      </c>
      <c r="H160" s="110"/>
    </row>
    <row r="161" spans="2:11" ht="12.5">
      <c r="B161" s="109"/>
      <c r="H161" s="110"/>
    </row>
    <row r="163" spans="2:11" ht="12.5">
      <c r="C163" s="570" t="s">
        <v>751</v>
      </c>
    </row>
    <row r="164" spans="2:11" ht="12.5">
      <c r="C164" s="570" t="s">
        <v>752</v>
      </c>
    </row>
    <row r="165" spans="2:11" ht="12.5">
      <c r="C165" s="571">
        <v>2728</v>
      </c>
      <c r="D165" s="4" t="s">
        <v>248</v>
      </c>
      <c r="H165">
        <f>(3.325+3.45)/2</f>
        <v>3.3875000000000002</v>
      </c>
    </row>
    <row r="167" spans="2:11" ht="12.5">
      <c r="D167" s="4">
        <v>2017</v>
      </c>
      <c r="E167" s="4">
        <v>2016</v>
      </c>
      <c r="F167" s="4">
        <v>2015</v>
      </c>
      <c r="G167" s="4">
        <v>2014</v>
      </c>
      <c r="H167" s="4">
        <v>2013</v>
      </c>
    </row>
    <row r="168" spans="2:11" ht="12.5">
      <c r="C168" s="572" t="s">
        <v>753</v>
      </c>
      <c r="D168" s="574" t="s">
        <v>754</v>
      </c>
      <c r="E168" s="538" t="s">
        <v>740</v>
      </c>
      <c r="F168" s="538" t="s">
        <v>733</v>
      </c>
      <c r="G168" s="538" t="s">
        <v>705</v>
      </c>
      <c r="H168" s="538" t="s">
        <v>757</v>
      </c>
      <c r="I168" s="572" t="s">
        <v>692</v>
      </c>
    </row>
    <row r="170" spans="2:11" ht="12.5">
      <c r="E170" s="4" t="s">
        <v>235</v>
      </c>
    </row>
    <row r="172" spans="2:11" ht="12.5">
      <c r="C172" s="572" t="s">
        <v>713</v>
      </c>
      <c r="D172" s="576">
        <v>4356</v>
      </c>
      <c r="E172" s="578"/>
      <c r="F172" s="578"/>
      <c r="G172" s="579">
        <v>4085</v>
      </c>
      <c r="H172" s="578"/>
      <c r="I172" s="578"/>
      <c r="J172" s="579">
        <v>4015</v>
      </c>
      <c r="K172" s="578"/>
    </row>
    <row r="173" spans="2:11" ht="12.5">
      <c r="C173" s="580" t="s">
        <v>759</v>
      </c>
      <c r="D173" s="581">
        <v>154</v>
      </c>
      <c r="E173" s="582"/>
      <c r="F173" s="582"/>
      <c r="G173" s="584">
        <v>138</v>
      </c>
      <c r="H173" s="582"/>
      <c r="I173" s="582"/>
      <c r="J173" s="584">
        <v>12</v>
      </c>
    </row>
    <row r="174" spans="2:11" ht="12.5">
      <c r="C174" s="4" t="s">
        <v>523</v>
      </c>
      <c r="D174" s="490">
        <f>D173/D172</f>
        <v>3.5353535353535352E-2</v>
      </c>
    </row>
  </sheetData>
  <mergeCells count="3">
    <mergeCell ref="G6:K8"/>
    <mergeCell ref="G28:L30"/>
    <mergeCell ref="H12:K15"/>
  </mergeCells>
  <hyperlinks>
    <hyperlink ref="C20" r:id="rId1"/>
    <hyperlink ref="C38" r:id="rId2"/>
    <hyperlink ref="C47"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O237"/>
  <sheetViews>
    <sheetView workbookViewId="0"/>
  </sheetViews>
  <sheetFormatPr defaultColWidth="14.453125" defaultRowHeight="15.75" customHeight="1"/>
  <sheetData>
    <row r="2" spans="2:15" ht="15.75" customHeight="1">
      <c r="B2" s="489">
        <v>2009</v>
      </c>
      <c r="C2" s="139"/>
      <c r="D2" s="106" t="s">
        <v>625</v>
      </c>
      <c r="E2" s="107"/>
      <c r="F2" s="107"/>
      <c r="G2" s="107"/>
      <c r="H2" s="107"/>
      <c r="I2" s="107"/>
      <c r="J2" s="107"/>
      <c r="K2" s="106" t="s">
        <v>248</v>
      </c>
      <c r="L2" s="496">
        <v>1998.6</v>
      </c>
      <c r="M2" s="361"/>
    </row>
    <row r="3" spans="2:15" ht="15.75" customHeight="1">
      <c r="C3" s="109"/>
      <c r="L3" s="110"/>
    </row>
    <row r="4" spans="2:15" ht="15.75" customHeight="1">
      <c r="C4" s="109"/>
      <c r="D4" s="1002" t="s">
        <v>630</v>
      </c>
      <c r="E4" s="996"/>
      <c r="F4" s="996"/>
      <c r="G4" s="996"/>
      <c r="H4" s="996"/>
      <c r="I4" s="996"/>
      <c r="J4" s="996"/>
      <c r="K4" s="996"/>
      <c r="L4" s="110"/>
    </row>
    <row r="5" spans="2:15" ht="15.75" customHeight="1">
      <c r="C5" s="109"/>
      <c r="D5" s="996"/>
      <c r="E5" s="996"/>
      <c r="F5" s="996"/>
      <c r="G5" s="996"/>
      <c r="H5" s="996"/>
      <c r="I5" s="996"/>
      <c r="J5" s="996"/>
      <c r="K5" s="996"/>
      <c r="L5" s="110"/>
    </row>
    <row r="6" spans="2:15" ht="15.75" customHeight="1">
      <c r="C6" s="109"/>
      <c r="D6" s="996"/>
      <c r="E6" s="996"/>
      <c r="F6" s="996"/>
      <c r="G6" s="996"/>
      <c r="H6" s="996"/>
      <c r="I6" s="996"/>
      <c r="J6" s="996"/>
      <c r="K6" s="996"/>
      <c r="L6" s="110"/>
      <c r="N6" s="155">
        <v>2908700000</v>
      </c>
      <c r="O6" s="4" t="s">
        <v>267</v>
      </c>
    </row>
    <row r="7" spans="2:15" ht="15.75" customHeight="1">
      <c r="C7" s="109"/>
      <c r="H7" s="155">
        <v>19416645.848000001</v>
      </c>
      <c r="I7" s="4" t="s">
        <v>171</v>
      </c>
      <c r="J7" s="4" t="s">
        <v>632</v>
      </c>
      <c r="L7" s="110"/>
      <c r="N7" s="155">
        <v>3414000</v>
      </c>
      <c r="O7" s="4" t="s">
        <v>370</v>
      </c>
    </row>
    <row r="8" spans="2:15" ht="15.75" customHeight="1">
      <c r="C8" s="109"/>
      <c r="H8" s="4" t="s">
        <v>258</v>
      </c>
      <c r="I8" s="34">
        <f>H7/D10</f>
        <v>0.61025970495477877</v>
      </c>
      <c r="L8" s="110"/>
      <c r="N8" s="4">
        <v>875</v>
      </c>
      <c r="O8" s="4" t="s">
        <v>163</v>
      </c>
    </row>
    <row r="9" spans="2:15" ht="15.75" customHeight="1">
      <c r="C9" s="109"/>
      <c r="D9" s="4">
        <v>4661.83</v>
      </c>
      <c r="E9" s="4" t="s">
        <v>636</v>
      </c>
      <c r="L9" s="110"/>
      <c r="N9">
        <f>N8*N7</f>
        <v>2987250000</v>
      </c>
    </row>
    <row r="10" spans="2:15" ht="15.75" customHeight="1">
      <c r="C10" s="109"/>
      <c r="D10" s="67">
        <v>31817021</v>
      </c>
      <c r="E10" s="4" t="s">
        <v>171</v>
      </c>
      <c r="F10" s="4">
        <v>2009</v>
      </c>
      <c r="G10" s="4">
        <v>2008</v>
      </c>
      <c r="L10" s="110"/>
      <c r="N10">
        <f>N9/N6</f>
        <v>1.0270051913225839</v>
      </c>
    </row>
    <row r="11" spans="2:15" ht="15.75" customHeight="1">
      <c r="C11" s="109"/>
      <c r="D11">
        <f>(F11+G11)/2</f>
        <v>3.1349999999999998</v>
      </c>
      <c r="E11" s="4" t="s">
        <v>163</v>
      </c>
      <c r="F11" s="14">
        <v>2.4670000000000001</v>
      </c>
      <c r="G11" s="14">
        <v>3.8029999999999999</v>
      </c>
      <c r="J11" s="167" t="s">
        <v>640</v>
      </c>
      <c r="L11" s="110"/>
    </row>
    <row r="12" spans="2:15" ht="15.75" customHeight="1">
      <c r="C12" s="109"/>
      <c r="D12" s="344">
        <f>D10*D11</f>
        <v>99746360.834999993</v>
      </c>
      <c r="E12" s="4" t="s">
        <v>164</v>
      </c>
      <c r="J12">
        <f>(925000+950000)/2*4</f>
        <v>3750000</v>
      </c>
      <c r="L12" s="110"/>
    </row>
    <row r="13" spans="2:15" ht="15.75" customHeight="1">
      <c r="C13" s="109"/>
      <c r="D13" s="502"/>
      <c r="E13" s="4"/>
      <c r="L13" s="110"/>
    </row>
    <row r="14" spans="2:15" ht="15.75" customHeight="1">
      <c r="C14" s="109"/>
      <c r="D14" s="496"/>
      <c r="E14" s="4" t="s">
        <v>79</v>
      </c>
      <c r="L14" s="110"/>
    </row>
    <row r="15" spans="2:15" ht="15.75" customHeight="1">
      <c r="C15" s="109"/>
      <c r="D15" s="375"/>
      <c r="E15" s="360"/>
      <c r="F15" s="300">
        <v>3691</v>
      </c>
      <c r="G15" s="4" t="s">
        <v>643</v>
      </c>
      <c r="H15" s="110"/>
    </row>
    <row r="16" spans="2:15" ht="15.75" customHeight="1">
      <c r="C16" s="109"/>
      <c r="L16" s="110"/>
    </row>
    <row r="17" spans="2:12" ht="15.75" customHeight="1">
      <c r="C17" s="113"/>
      <c r="D17" s="122" t="s">
        <v>252</v>
      </c>
      <c r="E17" s="114"/>
      <c r="F17" s="114"/>
      <c r="G17" s="114"/>
      <c r="H17" s="114"/>
      <c r="I17" s="114"/>
      <c r="J17" s="114"/>
      <c r="K17" s="114"/>
      <c r="L17" s="115"/>
    </row>
    <row r="20" spans="2:12" ht="15.75" customHeight="1">
      <c r="B20" s="380">
        <v>2010</v>
      </c>
      <c r="C20" s="107"/>
      <c r="D20" s="106" t="s">
        <v>644</v>
      </c>
      <c r="E20" s="106" t="s">
        <v>645</v>
      </c>
      <c r="F20" s="107"/>
      <c r="G20" s="107"/>
      <c r="H20" s="107"/>
      <c r="I20" s="107"/>
      <c r="J20" s="107"/>
      <c r="K20" s="496">
        <v>2544</v>
      </c>
      <c r="L20" s="361"/>
    </row>
    <row r="21" spans="2:12" ht="15.75" customHeight="1">
      <c r="B21" s="109"/>
      <c r="D21" s="54">
        <v>33018359</v>
      </c>
      <c r="E21" s="4" t="s">
        <v>171</v>
      </c>
      <c r="G21" s="506" t="s">
        <v>647</v>
      </c>
      <c r="K21" s="110"/>
    </row>
    <row r="22" spans="2:12" ht="12.5">
      <c r="B22" s="109"/>
      <c r="D22" s="14">
        <v>2.992</v>
      </c>
      <c r="E22" s="4" t="s">
        <v>163</v>
      </c>
      <c r="K22" s="110"/>
    </row>
    <row r="23" spans="2:12" ht="12.5">
      <c r="B23" s="109"/>
      <c r="D23" s="34">
        <f>D22*D21</f>
        <v>98790930.128000006</v>
      </c>
      <c r="E23" s="4" t="s">
        <v>164</v>
      </c>
      <c r="K23" s="110"/>
    </row>
    <row r="24" spans="2:12" ht="12.5">
      <c r="B24" s="109"/>
      <c r="K24" s="110"/>
    </row>
    <row r="25" spans="2:12" ht="13">
      <c r="B25" s="109"/>
      <c r="D25" s="496">
        <v>3242</v>
      </c>
      <c r="E25" s="202"/>
      <c r="K25" s="110"/>
    </row>
    <row r="26" spans="2:12" ht="12.5">
      <c r="B26" s="109"/>
      <c r="D26" s="510">
        <v>3841</v>
      </c>
      <c r="K26" s="110"/>
    </row>
    <row r="27" spans="2:12" ht="12.5">
      <c r="B27" s="109"/>
      <c r="D27" s="167" t="s">
        <v>649</v>
      </c>
      <c r="K27" s="110"/>
    </row>
    <row r="28" spans="2:12" ht="12.5">
      <c r="B28" s="109"/>
      <c r="K28" s="110"/>
    </row>
    <row r="29" spans="2:12" ht="12.5">
      <c r="B29" s="113"/>
      <c r="C29" s="114"/>
      <c r="D29" s="122" t="s">
        <v>651</v>
      </c>
      <c r="E29" s="114"/>
      <c r="F29" s="114"/>
      <c r="G29" s="114"/>
      <c r="H29" s="114"/>
      <c r="I29" s="114"/>
      <c r="J29" s="114"/>
      <c r="K29" s="115"/>
    </row>
    <row r="32" spans="2:12" ht="18">
      <c r="B32" s="380">
        <v>2011</v>
      </c>
      <c r="C32" s="107"/>
      <c r="D32" s="106" t="s">
        <v>635</v>
      </c>
      <c r="E32" s="106" t="s">
        <v>171</v>
      </c>
      <c r="F32" s="106" t="s">
        <v>163</v>
      </c>
      <c r="G32" s="106" t="s">
        <v>164</v>
      </c>
      <c r="H32" s="107"/>
      <c r="I32" s="107"/>
      <c r="J32" s="107"/>
      <c r="K32" s="496">
        <v>2948.6</v>
      </c>
      <c r="L32" s="361"/>
    </row>
    <row r="33" spans="2:11" ht="12.5">
      <c r="B33" s="109"/>
      <c r="C33" s="4" t="s">
        <v>274</v>
      </c>
      <c r="D33" s="155">
        <v>1411136</v>
      </c>
      <c r="E33" s="4">
        <v>34671646</v>
      </c>
      <c r="F33" s="14">
        <v>3.84</v>
      </c>
      <c r="G33">
        <f t="shared" ref="G33:G34" si="0">E33*F33</f>
        <v>133139120.64</v>
      </c>
      <c r="K33" s="110"/>
    </row>
    <row r="34" spans="2:11" ht="12.5">
      <c r="B34" s="109"/>
      <c r="C34" s="4" t="s">
        <v>280</v>
      </c>
      <c r="D34" s="155">
        <v>5841</v>
      </c>
      <c r="E34" s="4">
        <v>159590</v>
      </c>
      <c r="F34" s="33">
        <v>3.53</v>
      </c>
      <c r="G34">
        <f t="shared" si="0"/>
        <v>563352.69999999995</v>
      </c>
      <c r="K34" s="110"/>
    </row>
    <row r="35" spans="2:11" ht="12.5">
      <c r="B35" s="109"/>
      <c r="C35" s="4" t="s">
        <v>285</v>
      </c>
      <c r="E35" s="185">
        <f>E33+E34</f>
        <v>34831236</v>
      </c>
      <c r="F35" s="184"/>
      <c r="G35" s="185">
        <f>G33+G34</f>
        <v>133702473.34</v>
      </c>
      <c r="K35" s="110"/>
    </row>
    <row r="36" spans="2:11" ht="12.5">
      <c r="B36" s="109"/>
      <c r="K36" s="110"/>
    </row>
    <row r="37" spans="2:11" ht="13">
      <c r="B37" s="109"/>
      <c r="C37" s="201" t="s">
        <v>657</v>
      </c>
      <c r="D37" s="496">
        <v>3839.9</v>
      </c>
      <c r="E37" s="361"/>
      <c r="K37" s="110"/>
    </row>
    <row r="38" spans="2:11" ht="13">
      <c r="B38" s="109"/>
      <c r="C38" s="510">
        <v>3697</v>
      </c>
      <c r="D38" s="366" t="s">
        <v>413</v>
      </c>
      <c r="K38" s="110"/>
    </row>
    <row r="39" spans="2:11" ht="12.5">
      <c r="B39" s="109"/>
      <c r="C39" s="167" t="s">
        <v>658</v>
      </c>
      <c r="K39" s="110"/>
    </row>
    <row r="40" spans="2:11" ht="12.5">
      <c r="B40" s="109"/>
      <c r="C40" s="4" t="s">
        <v>659</v>
      </c>
      <c r="D40" s="4">
        <v>3600000</v>
      </c>
      <c r="K40" s="110"/>
    </row>
    <row r="41" spans="2:11" ht="12.5">
      <c r="B41" s="109"/>
      <c r="C41" s="167" t="s">
        <v>660</v>
      </c>
      <c r="K41" s="110"/>
    </row>
    <row r="42" spans="2:11" ht="12.5">
      <c r="B42" s="109"/>
      <c r="C42" s="514" t="s">
        <v>662</v>
      </c>
      <c r="D42" s="107"/>
      <c r="E42" s="108"/>
      <c r="K42" s="110"/>
    </row>
    <row r="43" spans="2:11" ht="13">
      <c r="B43" s="109"/>
      <c r="C43" s="515" t="s">
        <v>664</v>
      </c>
      <c r="E43" s="110"/>
      <c r="K43" s="110"/>
    </row>
    <row r="44" spans="2:11" ht="15.5">
      <c r="B44" s="109"/>
      <c r="C44" s="516"/>
      <c r="E44" s="110"/>
      <c r="G44" s="167" t="s">
        <v>665</v>
      </c>
      <c r="K44" s="110"/>
    </row>
    <row r="45" spans="2:11" ht="13">
      <c r="B45" s="109"/>
      <c r="C45" s="515" t="s">
        <v>666</v>
      </c>
      <c r="E45" s="110"/>
      <c r="K45" s="110"/>
    </row>
    <row r="46" spans="2:11" ht="15.5">
      <c r="B46" s="109"/>
      <c r="C46" s="516"/>
      <c r="E46" s="110"/>
      <c r="K46" s="110"/>
    </row>
    <row r="47" spans="2:11" ht="13">
      <c r="B47" s="109"/>
      <c r="C47" s="517" t="s">
        <v>667</v>
      </c>
      <c r="D47" s="114"/>
      <c r="E47" s="115"/>
      <c r="K47" s="110"/>
    </row>
    <row r="48" spans="2:11" ht="12.5">
      <c r="B48" s="113"/>
      <c r="C48" s="114"/>
      <c r="D48" s="114"/>
      <c r="E48" s="114"/>
      <c r="F48" s="114"/>
      <c r="G48" s="114"/>
      <c r="H48" s="114"/>
      <c r="I48" s="114"/>
      <c r="J48" s="114"/>
      <c r="K48" s="115"/>
    </row>
    <row r="51" spans="2:10" ht="18">
      <c r="B51" s="380">
        <v>2012</v>
      </c>
      <c r="C51" s="107"/>
      <c r="D51" s="106" t="s">
        <v>635</v>
      </c>
      <c r="E51" s="106" t="s">
        <v>171</v>
      </c>
      <c r="F51" s="106" t="s">
        <v>163</v>
      </c>
      <c r="G51" s="106" t="s">
        <v>164</v>
      </c>
      <c r="H51" s="107"/>
      <c r="I51" s="354">
        <v>79</v>
      </c>
      <c r="J51" s="361"/>
    </row>
    <row r="52" spans="2:10" ht="13">
      <c r="B52" s="109"/>
      <c r="C52" s="4" t="s">
        <v>274</v>
      </c>
      <c r="D52" s="155">
        <v>1482483.91</v>
      </c>
      <c r="E52" s="4">
        <v>36424666</v>
      </c>
      <c r="F52" s="14">
        <v>3.968</v>
      </c>
      <c r="G52">
        <f t="shared" ref="G52:G53" si="1">E52*F52</f>
        <v>144533074.68799999</v>
      </c>
      <c r="I52" s="4">
        <v>39500</v>
      </c>
      <c r="J52" s="519" t="s">
        <v>671</v>
      </c>
    </row>
    <row r="53" spans="2:10" ht="12.5">
      <c r="B53" s="109"/>
      <c r="C53" s="4" t="s">
        <v>280</v>
      </c>
      <c r="D53" s="155">
        <v>5936.16</v>
      </c>
      <c r="E53" s="4">
        <v>162190</v>
      </c>
      <c r="F53" s="29">
        <v>3.64</v>
      </c>
      <c r="G53">
        <f t="shared" si="1"/>
        <v>590371.6</v>
      </c>
      <c r="I53" s="170">
        <v>7951</v>
      </c>
      <c r="J53" s="233" t="s">
        <v>673</v>
      </c>
    </row>
    <row r="54" spans="2:10" ht="12.5">
      <c r="B54" s="109"/>
      <c r="C54" s="4" t="s">
        <v>285</v>
      </c>
      <c r="E54" s="185">
        <f>E52+E53</f>
        <v>36586856</v>
      </c>
      <c r="F54" s="184"/>
      <c r="G54" s="185">
        <f>G52+G53</f>
        <v>145123446.28799999</v>
      </c>
      <c r="I54">
        <f>I53*I52</f>
        <v>314064500</v>
      </c>
      <c r="J54" s="233" t="s">
        <v>678</v>
      </c>
    </row>
    <row r="55" spans="2:10" ht="12.5">
      <c r="B55" s="109"/>
      <c r="I55" s="520">
        <v>5551800000</v>
      </c>
      <c r="J55" s="233" t="s">
        <v>267</v>
      </c>
    </row>
    <row r="56" spans="2:10" ht="12.5">
      <c r="B56" s="109"/>
      <c r="I56" s="479">
        <f>I54/I55</f>
        <v>5.656985121942433E-2</v>
      </c>
      <c r="J56" s="233" t="s">
        <v>254</v>
      </c>
    </row>
    <row r="57" spans="2:10" ht="12.5">
      <c r="B57" s="109"/>
      <c r="C57" s="300">
        <v>3348</v>
      </c>
      <c r="D57" s="4" t="s">
        <v>233</v>
      </c>
      <c r="E57" s="4" t="s">
        <v>683</v>
      </c>
      <c r="J57" s="110"/>
    </row>
    <row r="58" spans="2:10" ht="12.5">
      <c r="B58" s="109"/>
      <c r="C58" s="167" t="s">
        <v>685</v>
      </c>
      <c r="J58" s="110"/>
    </row>
    <row r="59" spans="2:10" ht="12.5">
      <c r="B59" s="109"/>
      <c r="C59" s="34">
        <f>(2010000+2085000)/2</f>
        <v>2047500</v>
      </c>
      <c r="J59" s="110"/>
    </row>
    <row r="60" spans="2:10" ht="12.5">
      <c r="B60" s="109"/>
      <c r="J60" s="110"/>
    </row>
    <row r="61" spans="2:10" ht="13">
      <c r="B61" s="109"/>
      <c r="C61" s="201" t="s">
        <v>687</v>
      </c>
      <c r="D61" s="522">
        <v>3190.4</v>
      </c>
      <c r="E61" s="4" t="s">
        <v>683</v>
      </c>
      <c r="J61" s="110"/>
    </row>
    <row r="62" spans="2:10" ht="13">
      <c r="B62" s="109"/>
      <c r="C62" s="182"/>
      <c r="J62" s="110"/>
    </row>
    <row r="63" spans="2:10" ht="13">
      <c r="B63" s="109"/>
      <c r="C63" s="523" t="s">
        <v>689</v>
      </c>
      <c r="J63" s="110"/>
    </row>
    <row r="64" spans="2:10" ht="18">
      <c r="B64" s="109"/>
      <c r="C64" s="4" t="s">
        <v>258</v>
      </c>
      <c r="D64" s="34">
        <f>840000/E54</f>
        <v>2.2959064861982129E-2</v>
      </c>
      <c r="E64" s="187">
        <v>840000</v>
      </c>
      <c r="F64" s="4" t="s">
        <v>171</v>
      </c>
      <c r="J64" s="110"/>
    </row>
    <row r="65" spans="2:11" ht="12.5">
      <c r="B65" s="109"/>
      <c r="C65" s="4" t="s">
        <v>691</v>
      </c>
      <c r="J65" s="110"/>
    </row>
    <row r="66" spans="2:11" ht="12.5">
      <c r="B66" s="109"/>
      <c r="J66" s="110"/>
    </row>
    <row r="67" spans="2:11" ht="12.5">
      <c r="B67" s="113"/>
      <c r="C67" s="114"/>
      <c r="D67" s="114"/>
      <c r="E67" s="114"/>
      <c r="F67" s="114"/>
      <c r="G67" s="114"/>
      <c r="H67" s="114"/>
      <c r="I67" s="114"/>
      <c r="J67" s="115"/>
    </row>
    <row r="70" spans="2:11" ht="18">
      <c r="B70" s="380">
        <v>2013</v>
      </c>
      <c r="C70" s="107"/>
      <c r="D70" s="106" t="s">
        <v>635</v>
      </c>
      <c r="E70" s="106" t="s">
        <v>171</v>
      </c>
      <c r="F70" s="106" t="s">
        <v>163</v>
      </c>
      <c r="G70" s="106" t="s">
        <v>164</v>
      </c>
      <c r="H70" s="107"/>
      <c r="I70" s="107"/>
      <c r="J70" s="354">
        <v>66</v>
      </c>
      <c r="K70" s="361"/>
    </row>
    <row r="71" spans="2:11" ht="12.5">
      <c r="B71" s="109"/>
      <c r="C71" s="4" t="s">
        <v>274</v>
      </c>
      <c r="D71" s="155">
        <v>1638140.6</v>
      </c>
      <c r="E71" s="4">
        <v>40249154</v>
      </c>
      <c r="F71" s="14">
        <v>3.9220000000000002</v>
      </c>
      <c r="G71">
        <f t="shared" ref="G71:G72" si="2">E71*F71</f>
        <v>157857181.98800001</v>
      </c>
      <c r="J71" s="4">
        <v>33000</v>
      </c>
      <c r="K71" s="233" t="s">
        <v>671</v>
      </c>
    </row>
    <row r="72" spans="2:11" ht="12.5">
      <c r="B72" s="109"/>
      <c r="C72" s="4" t="s">
        <v>280</v>
      </c>
      <c r="D72" s="155">
        <v>5692.27</v>
      </c>
      <c r="E72" s="4">
        <v>155526</v>
      </c>
      <c r="F72" s="33">
        <v>3.53</v>
      </c>
      <c r="G72">
        <f t="shared" si="2"/>
        <v>549006.77999999991</v>
      </c>
      <c r="J72" s="170">
        <v>7324</v>
      </c>
      <c r="K72" s="233" t="s">
        <v>163</v>
      </c>
    </row>
    <row r="73" spans="2:11" ht="12.5">
      <c r="B73" s="109"/>
      <c r="C73" s="4" t="s">
        <v>285</v>
      </c>
      <c r="E73" s="185">
        <f>E71+E72</f>
        <v>40404680</v>
      </c>
      <c r="F73" s="184"/>
      <c r="G73" s="185">
        <f>G71+G72</f>
        <v>158406188.76800001</v>
      </c>
      <c r="J73">
        <f>J72*J71</f>
        <v>241692000</v>
      </c>
      <c r="K73" s="233" t="s">
        <v>678</v>
      </c>
    </row>
    <row r="74" spans="2:11" ht="12.5">
      <c r="B74" s="109"/>
      <c r="J74" s="520">
        <v>2906300000</v>
      </c>
      <c r="K74" s="233" t="s">
        <v>291</v>
      </c>
    </row>
    <row r="75" spans="2:11" ht="13">
      <c r="B75" s="109"/>
      <c r="C75" s="510">
        <v>2104</v>
      </c>
      <c r="D75" s="366" t="s">
        <v>233</v>
      </c>
      <c r="J75">
        <f>J73/J74</f>
        <v>8.3161407975776758E-2</v>
      </c>
      <c r="K75" s="110"/>
    </row>
    <row r="76" spans="2:11" ht="13">
      <c r="B76" s="109"/>
      <c r="K76" s="361"/>
    </row>
    <row r="77" spans="2:11" ht="12.5">
      <c r="B77" s="109"/>
      <c r="C77" s="139"/>
      <c r="D77" s="107"/>
      <c r="E77" s="107"/>
      <c r="F77" s="106">
        <v>2011</v>
      </c>
      <c r="G77" s="106">
        <v>2012</v>
      </c>
      <c r="H77" s="232">
        <v>2013</v>
      </c>
      <c r="K77" s="110"/>
    </row>
    <row r="78" spans="2:11" ht="13">
      <c r="B78" s="109"/>
      <c r="C78" s="529" t="s">
        <v>698</v>
      </c>
      <c r="D78" s="360"/>
      <c r="E78" s="360"/>
      <c r="F78" s="530">
        <v>2250</v>
      </c>
      <c r="G78" s="530">
        <v>2124</v>
      </c>
      <c r="H78" s="531">
        <v>2104</v>
      </c>
      <c r="K78" s="110"/>
    </row>
    <row r="79" spans="2:11" ht="13">
      <c r="B79" s="109"/>
      <c r="C79" s="532" t="s">
        <v>700</v>
      </c>
      <c r="D79" s="361"/>
      <c r="E79" s="361"/>
      <c r="F79" s="533"/>
      <c r="G79" s="533"/>
      <c r="H79" s="534"/>
      <c r="K79" s="110"/>
    </row>
    <row r="80" spans="2:11" ht="13">
      <c r="B80" s="109"/>
      <c r="C80" s="529" t="s">
        <v>667</v>
      </c>
      <c r="D80" s="360"/>
      <c r="E80" s="360"/>
      <c r="F80" s="502">
        <v>3499.1</v>
      </c>
      <c r="G80" s="502">
        <v>3530.6</v>
      </c>
      <c r="H80" s="535">
        <v>2906.3</v>
      </c>
      <c r="K80" s="110"/>
    </row>
    <row r="81" spans="2:11" ht="13">
      <c r="B81" s="109"/>
      <c r="C81" s="536" t="s">
        <v>702</v>
      </c>
      <c r="D81" s="382"/>
      <c r="E81" s="382"/>
      <c r="F81" s="537"/>
      <c r="G81" s="537"/>
      <c r="H81" s="300">
        <v>1819.9</v>
      </c>
      <c r="K81" s="110"/>
    </row>
    <row r="82" spans="2:11" ht="12.5">
      <c r="B82" s="109"/>
      <c r="K82" s="110"/>
    </row>
    <row r="83" spans="2:11" ht="12.5">
      <c r="B83" s="109"/>
      <c r="C83" s="167" t="s">
        <v>703</v>
      </c>
      <c r="K83" s="110"/>
    </row>
    <row r="84" spans="2:11" ht="12.5">
      <c r="B84" s="109"/>
      <c r="K84" s="110"/>
    </row>
    <row r="85" spans="2:11" ht="13">
      <c r="B85" s="109"/>
      <c r="C85" s="523" t="s">
        <v>704</v>
      </c>
      <c r="K85" s="110"/>
    </row>
    <row r="86" spans="2:11" ht="18">
      <c r="B86" s="109"/>
      <c r="C86" s="187">
        <v>1260000</v>
      </c>
      <c r="D86" s="4" t="s">
        <v>171</v>
      </c>
      <c r="E86" s="4" t="s">
        <v>258</v>
      </c>
      <c r="F86" s="490">
        <f>C86/E73</f>
        <v>3.118450634926449E-2</v>
      </c>
      <c r="K86" s="110"/>
    </row>
    <row r="87" spans="2:11" ht="12.5">
      <c r="B87" s="1027" t="s">
        <v>472</v>
      </c>
      <c r="C87" s="996"/>
      <c r="D87" s="996"/>
      <c r="E87" s="996"/>
      <c r="F87" s="996"/>
      <c r="G87" s="996"/>
      <c r="H87" s="996"/>
      <c r="I87" s="996"/>
      <c r="J87" s="996"/>
      <c r="K87" s="998"/>
    </row>
    <row r="88" spans="2:11" ht="12.5">
      <c r="B88" s="1013"/>
      <c r="C88" s="996"/>
      <c r="D88" s="996"/>
      <c r="E88" s="996"/>
      <c r="F88" s="996"/>
      <c r="G88" s="996"/>
      <c r="H88" s="996"/>
      <c r="I88" s="996"/>
      <c r="J88" s="996"/>
      <c r="K88" s="998"/>
    </row>
    <row r="89" spans="2:11" ht="12.5">
      <c r="B89" s="1013"/>
      <c r="C89" s="996"/>
      <c r="D89" s="996"/>
      <c r="E89" s="996"/>
      <c r="F89" s="996"/>
      <c r="G89" s="996"/>
      <c r="H89" s="996"/>
      <c r="I89" s="996"/>
      <c r="J89" s="996"/>
      <c r="K89" s="998"/>
    </row>
    <row r="90" spans="2:11" ht="12.5">
      <c r="B90" s="1013"/>
      <c r="C90" s="996"/>
      <c r="D90" s="996"/>
      <c r="E90" s="996"/>
      <c r="F90" s="996"/>
      <c r="G90" s="996"/>
      <c r="H90" s="996"/>
      <c r="I90" s="996"/>
      <c r="J90" s="996"/>
      <c r="K90" s="998"/>
    </row>
    <row r="91" spans="2:11" ht="12.5">
      <c r="B91" s="1028"/>
      <c r="C91" s="1008"/>
      <c r="D91" s="1008"/>
      <c r="E91" s="1008"/>
      <c r="F91" s="1008"/>
      <c r="G91" s="1008"/>
      <c r="H91" s="1008"/>
      <c r="I91" s="1008"/>
      <c r="J91" s="1008"/>
      <c r="K91" s="1025"/>
    </row>
    <row r="95" spans="2:11" ht="18">
      <c r="B95" s="380">
        <v>2014</v>
      </c>
      <c r="C95" s="107"/>
      <c r="D95" s="106" t="s">
        <v>635</v>
      </c>
      <c r="E95" s="106" t="s">
        <v>171</v>
      </c>
      <c r="F95" s="106" t="s">
        <v>163</v>
      </c>
      <c r="G95" s="106" t="s">
        <v>164</v>
      </c>
      <c r="J95" s="354">
        <v>71.2</v>
      </c>
      <c r="K95" s="361"/>
    </row>
    <row r="96" spans="2:11" ht="12.5">
      <c r="B96" s="109"/>
      <c r="C96" s="4" t="s">
        <v>274</v>
      </c>
      <c r="D96" s="155">
        <v>1531282</v>
      </c>
      <c r="E96" s="4">
        <v>37623636</v>
      </c>
      <c r="F96" s="14">
        <v>3.8250000000000002</v>
      </c>
      <c r="G96">
        <f t="shared" ref="G96:G97" si="3">E96*F96</f>
        <v>143910407.70000002</v>
      </c>
      <c r="J96" s="4">
        <v>35600</v>
      </c>
      <c r="K96" s="4" t="s">
        <v>671</v>
      </c>
    </row>
    <row r="97" spans="2:11" ht="12.5">
      <c r="B97" s="109"/>
      <c r="C97" s="4" t="s">
        <v>280</v>
      </c>
      <c r="D97" s="155">
        <v>1887</v>
      </c>
      <c r="E97" s="4">
        <v>51557</v>
      </c>
      <c r="F97" s="29">
        <v>3.37</v>
      </c>
      <c r="G97">
        <f t="shared" si="3"/>
        <v>173747.09</v>
      </c>
      <c r="J97" s="170">
        <v>6861</v>
      </c>
      <c r="K97" s="4" t="s">
        <v>163</v>
      </c>
    </row>
    <row r="98" spans="2:11" ht="12.5">
      <c r="B98" s="109"/>
      <c r="C98" s="4" t="s">
        <v>285</v>
      </c>
      <c r="E98" s="185">
        <f>E96+E97</f>
        <v>37675193</v>
      </c>
      <c r="F98" s="184"/>
      <c r="G98" s="185">
        <f>G96+G97</f>
        <v>144084154.79000002</v>
      </c>
      <c r="J98">
        <f>J97*J96</f>
        <v>244251600</v>
      </c>
      <c r="K98" s="4" t="s">
        <v>678</v>
      </c>
    </row>
    <row r="99" spans="2:11" ht="12.5">
      <c r="B99" s="109"/>
      <c r="J99" s="520">
        <v>2868800000</v>
      </c>
      <c r="K99" s="4" t="s">
        <v>291</v>
      </c>
    </row>
    <row r="100" spans="2:11" ht="13">
      <c r="B100" s="109"/>
      <c r="C100" s="510">
        <v>2104</v>
      </c>
      <c r="D100" s="366" t="s">
        <v>233</v>
      </c>
      <c r="J100">
        <f>J98/J99</f>
        <v>8.5140686001115448E-2</v>
      </c>
      <c r="K100" s="4" t="s">
        <v>254</v>
      </c>
    </row>
    <row r="102" spans="2:11" ht="13">
      <c r="C102" s="548" t="s">
        <v>716</v>
      </c>
      <c r="D102" s="361"/>
      <c r="E102" s="361"/>
      <c r="F102" s="361"/>
    </row>
    <row r="103" spans="2:11" ht="13">
      <c r="C103" s="550" t="s">
        <v>717</v>
      </c>
      <c r="D103" s="360"/>
      <c r="E103" s="510">
        <v>33513</v>
      </c>
      <c r="F103" s="360"/>
    </row>
    <row r="104" spans="2:11" ht="13">
      <c r="C104" s="201" t="s">
        <v>722</v>
      </c>
      <c r="D104" s="361"/>
      <c r="E104" s="551">
        <v>2.1</v>
      </c>
      <c r="F104" s="361"/>
    </row>
    <row r="105" spans="2:11" ht="13">
      <c r="C105" s="550" t="s">
        <v>724</v>
      </c>
      <c r="D105" s="360"/>
      <c r="E105" s="300">
        <v>2294</v>
      </c>
      <c r="F105" s="360"/>
    </row>
    <row r="106" spans="2:11" ht="13">
      <c r="C106" s="548" t="s">
        <v>700</v>
      </c>
    </row>
    <row r="107" spans="2:11" ht="13">
      <c r="E107" s="522">
        <v>1808.1</v>
      </c>
      <c r="F107" s="180" t="s">
        <v>248</v>
      </c>
    </row>
    <row r="109" spans="2:11" ht="12.5">
      <c r="C109" s="167" t="s">
        <v>725</v>
      </c>
    </row>
    <row r="111" spans="2:11" ht="13">
      <c r="C111" s="523" t="s">
        <v>726</v>
      </c>
      <c r="D111" s="552"/>
      <c r="E111" s="250" t="s">
        <v>727</v>
      </c>
    </row>
    <row r="112" spans="2:11" ht="18">
      <c r="C112" s="4" t="s">
        <v>728</v>
      </c>
      <c r="F112" s="187">
        <v>18081000</v>
      </c>
      <c r="G112" s="4" t="s">
        <v>171</v>
      </c>
      <c r="H112" s="4" t="s">
        <v>258</v>
      </c>
    </row>
    <row r="113" spans="2:11" ht="12.5">
      <c r="H113" s="490">
        <f>F112/E98</f>
        <v>0.47991791309469867</v>
      </c>
    </row>
    <row r="117" spans="2:11" ht="18">
      <c r="B117" s="380">
        <v>2015</v>
      </c>
      <c r="C117" s="107"/>
      <c r="D117" s="106" t="s">
        <v>635</v>
      </c>
      <c r="E117" s="106" t="s">
        <v>171</v>
      </c>
      <c r="F117" s="106" t="s">
        <v>163</v>
      </c>
      <c r="G117" s="106" t="s">
        <v>164</v>
      </c>
      <c r="H117" s="107"/>
      <c r="I117" s="520">
        <v>2545400000</v>
      </c>
      <c r="J117" s="354">
        <v>62</v>
      </c>
      <c r="K117" s="361"/>
    </row>
    <row r="118" spans="2:11" ht="12.5">
      <c r="B118" s="71"/>
      <c r="C118" s="4" t="s">
        <v>274</v>
      </c>
      <c r="D118" s="155">
        <v>1531282</v>
      </c>
      <c r="E118" s="4">
        <v>37623636</v>
      </c>
      <c r="F118" s="14">
        <v>2.7069999999999999</v>
      </c>
      <c r="G118">
        <f t="shared" ref="G118:G119" si="4">E118*F118</f>
        <v>101847182.652</v>
      </c>
      <c r="J118" s="4">
        <v>31000</v>
      </c>
      <c r="K118" s="233" t="s">
        <v>671</v>
      </c>
    </row>
    <row r="119" spans="2:11" ht="13">
      <c r="B119" s="109"/>
      <c r="C119" s="4" t="s">
        <v>280</v>
      </c>
      <c r="D119" s="155">
        <v>1887</v>
      </c>
      <c r="E119" s="4">
        <v>51557</v>
      </c>
      <c r="F119" s="33">
        <v>2.4500000000000002</v>
      </c>
      <c r="G119">
        <f t="shared" si="4"/>
        <v>126314.65000000001</v>
      </c>
      <c r="J119" s="179">
        <v>5376</v>
      </c>
      <c r="K119" s="180" t="s">
        <v>163</v>
      </c>
    </row>
    <row r="120" spans="2:11" ht="12.5">
      <c r="B120" s="109"/>
      <c r="C120" s="4" t="s">
        <v>285</v>
      </c>
      <c r="E120" s="185">
        <f>E118+E119</f>
        <v>37675193</v>
      </c>
      <c r="F120" s="184"/>
      <c r="G120" s="185">
        <f>G118+G119</f>
        <v>101973497.302</v>
      </c>
      <c r="J120">
        <f>J119*J118</f>
        <v>166656000</v>
      </c>
      <c r="K120" s="233" t="s">
        <v>678</v>
      </c>
    </row>
    <row r="121" spans="2:11" ht="12.5">
      <c r="B121" s="109"/>
      <c r="J121" s="4" t="s">
        <v>254</v>
      </c>
      <c r="K121" s="363">
        <f>J120/I117</f>
        <v>6.5473403001492889E-2</v>
      </c>
    </row>
    <row r="122" spans="2:11" ht="13">
      <c r="B122" s="109"/>
      <c r="C122" s="179">
        <v>1660.3</v>
      </c>
      <c r="D122" s="366" t="s">
        <v>79</v>
      </c>
      <c r="K122" s="110"/>
    </row>
    <row r="123" spans="2:11" ht="12.5">
      <c r="B123" s="109"/>
      <c r="C123" s="510">
        <v>2236</v>
      </c>
      <c r="D123" s="4" t="s">
        <v>233</v>
      </c>
      <c r="K123" s="110"/>
    </row>
    <row r="124" spans="2:11" ht="12.5">
      <c r="B124" s="109"/>
      <c r="C124" s="167" t="s">
        <v>731</v>
      </c>
      <c r="K124" s="110"/>
    </row>
    <row r="125" spans="2:11" ht="12.5">
      <c r="B125" s="109"/>
      <c r="C125" s="4">
        <v>2.0750000000000002</v>
      </c>
      <c r="K125" s="110"/>
    </row>
    <row r="126" spans="2:11" ht="12.5">
      <c r="B126" s="109"/>
      <c r="K126" s="110"/>
    </row>
    <row r="127" spans="2:11" ht="12.5">
      <c r="B127" s="109"/>
      <c r="C127" s="167" t="s">
        <v>734</v>
      </c>
      <c r="K127" s="110"/>
    </row>
    <row r="128" spans="2:11" ht="13">
      <c r="B128" s="109"/>
      <c r="C128" s="557"/>
      <c r="D128" s="559" t="s">
        <v>726</v>
      </c>
      <c r="E128" s="561"/>
      <c r="F128" s="563" t="s">
        <v>736</v>
      </c>
      <c r="K128" s="110"/>
    </row>
    <row r="129" spans="2:11" ht="18">
      <c r="B129" s="109"/>
      <c r="F129" s="187">
        <v>1323000</v>
      </c>
      <c r="G129" s="4" t="s">
        <v>154</v>
      </c>
      <c r="H129" s="4" t="s">
        <v>258</v>
      </c>
      <c r="I129" s="490">
        <f>F129/E120</f>
        <v>3.5115944860587708E-2</v>
      </c>
      <c r="K129" s="110"/>
    </row>
    <row r="130" spans="2:11" ht="12.5">
      <c r="B130" s="109"/>
      <c r="C130" s="4" t="s">
        <v>351</v>
      </c>
      <c r="K130" s="110"/>
    </row>
    <row r="131" spans="2:11" ht="12.5">
      <c r="B131" s="113"/>
      <c r="C131" s="114"/>
      <c r="D131" s="114"/>
      <c r="E131" s="114"/>
      <c r="F131" s="114"/>
      <c r="G131" s="114"/>
      <c r="H131" s="114"/>
      <c r="I131" s="114"/>
      <c r="J131" s="114"/>
      <c r="K131" s="115"/>
    </row>
    <row r="134" spans="2:11" ht="18">
      <c r="B134" s="380">
        <v>2016</v>
      </c>
      <c r="C134" s="107"/>
      <c r="D134" s="106" t="s">
        <v>635</v>
      </c>
      <c r="E134" s="106" t="s">
        <v>171</v>
      </c>
      <c r="F134" s="106" t="s">
        <v>163</v>
      </c>
      <c r="G134" s="106" t="s">
        <v>164</v>
      </c>
      <c r="H134" s="107"/>
      <c r="I134" s="107"/>
      <c r="J134" s="107"/>
      <c r="K134" s="108"/>
    </row>
    <row r="135" spans="2:11" ht="12.5">
      <c r="B135" s="71"/>
      <c r="C135" s="4" t="s">
        <v>274</v>
      </c>
      <c r="D135" s="155">
        <v>1925907</v>
      </c>
      <c r="E135" s="4">
        <v>47319582</v>
      </c>
      <c r="F135" s="14">
        <v>2.3039999999999998</v>
      </c>
      <c r="G135">
        <f t="shared" ref="G135:G136" si="5">E135*F135</f>
        <v>109024316.92799999</v>
      </c>
      <c r="K135" s="110"/>
    </row>
    <row r="136" spans="2:11" ht="12.5">
      <c r="B136" s="109"/>
      <c r="C136" s="4" t="s">
        <v>280</v>
      </c>
      <c r="D136" s="155">
        <v>1326</v>
      </c>
      <c r="E136" s="4">
        <v>36229</v>
      </c>
      <c r="F136" s="29">
        <v>2.25</v>
      </c>
      <c r="G136">
        <f t="shared" si="5"/>
        <v>81515.25</v>
      </c>
      <c r="H136" s="139"/>
      <c r="I136" s="106" t="s">
        <v>250</v>
      </c>
      <c r="J136" s="108"/>
      <c r="K136" s="110"/>
    </row>
    <row r="137" spans="2:11" ht="12.5">
      <c r="B137" s="109"/>
      <c r="C137" s="4" t="s">
        <v>285</v>
      </c>
      <c r="E137" s="185">
        <f>E135+E136</f>
        <v>47355811</v>
      </c>
      <c r="F137" s="184"/>
      <c r="G137" s="185">
        <f>G135+G136</f>
        <v>109105832.17799999</v>
      </c>
      <c r="H137" s="109"/>
      <c r="I137" s="565">
        <v>2749500000</v>
      </c>
      <c r="J137" s="110"/>
      <c r="K137" s="110"/>
    </row>
    <row r="138" spans="2:11" ht="13">
      <c r="B138" s="109"/>
      <c r="H138" s="109"/>
      <c r="I138" s="566">
        <f>J146/I137</f>
        <v>5.8366612111292959E-2</v>
      </c>
      <c r="J138" s="233" t="s">
        <v>254</v>
      </c>
      <c r="K138" s="110"/>
    </row>
    <row r="139" spans="2:11" ht="12.5">
      <c r="B139" s="109"/>
      <c r="C139" s="54">
        <v>2219000</v>
      </c>
      <c r="D139" s="4" t="s">
        <v>233</v>
      </c>
      <c r="H139" s="109"/>
      <c r="J139" s="110"/>
      <c r="K139" s="110"/>
    </row>
    <row r="140" spans="2:11" ht="12.5">
      <c r="B140" s="109"/>
      <c r="C140" s="496">
        <v>1387.5</v>
      </c>
      <c r="D140" s="4" t="s">
        <v>741</v>
      </c>
      <c r="H140" s="109"/>
      <c r="J140" s="110"/>
      <c r="K140" s="110"/>
    </row>
    <row r="141" spans="2:11" ht="12.5">
      <c r="B141" s="109"/>
      <c r="C141" s="167" t="s">
        <v>743</v>
      </c>
      <c r="H141" s="109"/>
      <c r="J141" s="110"/>
      <c r="K141" s="110"/>
    </row>
    <row r="142" spans="2:11" ht="12.5">
      <c r="B142" s="109"/>
      <c r="C142" s="54">
        <v>2125000</v>
      </c>
      <c r="H142" s="109"/>
      <c r="J142" s="110"/>
      <c r="K142" s="110"/>
    </row>
    <row r="143" spans="2:11" ht="12.5">
      <c r="B143" s="109"/>
      <c r="H143" s="567">
        <v>66</v>
      </c>
      <c r="I143" s="4" t="s">
        <v>745</v>
      </c>
      <c r="J143" s="233">
        <v>33000</v>
      </c>
      <c r="K143" s="110"/>
    </row>
    <row r="144" spans="2:11" ht="12.5">
      <c r="B144" s="109"/>
      <c r="C144" s="4" t="s">
        <v>746</v>
      </c>
      <c r="H144" s="109"/>
      <c r="I144" s="4" t="s">
        <v>747</v>
      </c>
      <c r="J144" s="233" t="s">
        <v>748</v>
      </c>
      <c r="K144" s="110"/>
    </row>
    <row r="145" spans="2:12" ht="12.5">
      <c r="B145" s="109"/>
      <c r="H145" s="568">
        <v>4863</v>
      </c>
      <c r="J145" s="110"/>
      <c r="K145" s="110"/>
    </row>
    <row r="146" spans="2:12" ht="13">
      <c r="B146" s="109"/>
      <c r="H146" s="569"/>
      <c r="I146" s="122" t="s">
        <v>750</v>
      </c>
      <c r="J146" s="115">
        <f>J143*H145</f>
        <v>160479000</v>
      </c>
      <c r="K146" s="110"/>
    </row>
    <row r="147" spans="2:12" ht="12.5">
      <c r="B147" s="113"/>
      <c r="C147" s="114"/>
      <c r="D147" s="114"/>
      <c r="E147" s="114"/>
      <c r="F147" s="114"/>
      <c r="G147" s="114"/>
      <c r="H147" s="114"/>
      <c r="I147" s="114"/>
      <c r="J147" s="114"/>
      <c r="K147" s="115"/>
    </row>
    <row r="150" spans="2:12" ht="18">
      <c r="B150" s="380">
        <v>2017</v>
      </c>
      <c r="C150" s="107"/>
      <c r="D150" s="106" t="s">
        <v>635</v>
      </c>
      <c r="E150" s="106" t="s">
        <v>171</v>
      </c>
      <c r="F150" s="106" t="s">
        <v>163</v>
      </c>
      <c r="G150" s="106" t="s">
        <v>164</v>
      </c>
    </row>
    <row r="151" spans="2:12" ht="12.5">
      <c r="B151" s="71"/>
      <c r="C151" s="4" t="s">
        <v>274</v>
      </c>
      <c r="D151" s="155">
        <v>1835912</v>
      </c>
      <c r="E151" s="4">
        <v>45108402</v>
      </c>
      <c r="F151" s="14">
        <v>2.65</v>
      </c>
      <c r="G151">
        <f t="shared" ref="G151:G152" si="6">E151*F151</f>
        <v>119537265.3</v>
      </c>
      <c r="J151" s="573">
        <v>2761000000</v>
      </c>
      <c r="K151" s="4" t="s">
        <v>755</v>
      </c>
    </row>
    <row r="152" spans="2:12" ht="12.5">
      <c r="B152" s="109"/>
      <c r="C152" s="4" t="s">
        <v>280</v>
      </c>
      <c r="D152" s="155">
        <v>995</v>
      </c>
      <c r="E152" s="4">
        <v>27185</v>
      </c>
      <c r="F152" s="33">
        <v>2.528</v>
      </c>
      <c r="G152">
        <f t="shared" si="6"/>
        <v>68723.680000000008</v>
      </c>
      <c r="J152" s="575">
        <v>30</v>
      </c>
      <c r="K152" s="577">
        <v>6166</v>
      </c>
      <c r="L152" s="4" t="s">
        <v>163</v>
      </c>
    </row>
    <row r="153" spans="2:12" ht="12.5">
      <c r="B153" s="109"/>
      <c r="C153" s="4" t="s">
        <v>285</v>
      </c>
      <c r="E153" s="185">
        <f>E151+E152</f>
        <v>45135587</v>
      </c>
      <c r="F153" s="184"/>
      <c r="G153" s="185">
        <f>G151+G152</f>
        <v>119605988.98</v>
      </c>
      <c r="J153" s="282"/>
      <c r="L153">
        <f>30000*K152</f>
        <v>184980000</v>
      </c>
    </row>
    <row r="154" spans="2:12" ht="12.5">
      <c r="B154" s="109"/>
      <c r="L154" s="4" t="s">
        <v>254</v>
      </c>
    </row>
    <row r="155" spans="2:12" ht="12.5">
      <c r="C155" s="573">
        <v>2160</v>
      </c>
      <c r="D155" s="4" t="s">
        <v>413</v>
      </c>
      <c r="I155" s="583" t="s">
        <v>760</v>
      </c>
      <c r="J155" s="490">
        <v>593216.11552788201</v>
      </c>
      <c r="L155" s="34">
        <f>L153/J151</f>
        <v>6.6997464686707711E-2</v>
      </c>
    </row>
    <row r="156" spans="2:12" ht="12.5">
      <c r="C156" s="586">
        <v>1404</v>
      </c>
      <c r="D156" s="4" t="s">
        <v>164</v>
      </c>
      <c r="I156" s="587" t="s">
        <v>258</v>
      </c>
      <c r="J156" s="490">
        <f>J155/C158</f>
        <v>0.28383546197506315</v>
      </c>
    </row>
    <row r="157" spans="2:12" ht="12.5">
      <c r="C157" s="588" t="s">
        <v>762</v>
      </c>
    </row>
    <row r="158" spans="2:12" ht="12.5">
      <c r="C158" s="54">
        <v>2090000</v>
      </c>
    </row>
    <row r="159" spans="2:12" ht="12.5">
      <c r="H159" s="4" t="s">
        <v>763</v>
      </c>
    </row>
    <row r="160" spans="2:12" ht="12.5">
      <c r="C160" s="588" t="s">
        <v>764</v>
      </c>
      <c r="D160" s="4" t="s">
        <v>274</v>
      </c>
      <c r="H160" s="1030" t="s">
        <v>765</v>
      </c>
      <c r="I160" s="996"/>
      <c r="J160" s="996"/>
      <c r="K160" s="996"/>
      <c r="L160" s="996"/>
    </row>
    <row r="161" spans="3:12" ht="15.75" customHeight="1">
      <c r="H161" s="996"/>
      <c r="I161" s="996"/>
      <c r="J161" s="996"/>
      <c r="K161" s="996"/>
      <c r="L161" s="996"/>
    </row>
    <row r="162" spans="3:12" ht="12.5">
      <c r="C162" s="4" t="s">
        <v>766</v>
      </c>
      <c r="H162" s="996"/>
      <c r="I162" s="996"/>
      <c r="J162" s="996"/>
      <c r="K162" s="996"/>
      <c r="L162" s="996"/>
    </row>
    <row r="164" spans="3:12" ht="12.5">
      <c r="F164" s="20" t="s">
        <v>767</v>
      </c>
      <c r="H164" s="4" t="s">
        <v>107</v>
      </c>
      <c r="K164" s="4">
        <v>0.5</v>
      </c>
    </row>
    <row r="165" spans="3:12" ht="12.5">
      <c r="F165" s="4" t="s">
        <v>768</v>
      </c>
      <c r="L165" s="4" t="s">
        <v>770</v>
      </c>
    </row>
    <row r="166" spans="3:12" ht="14">
      <c r="F166" s="590">
        <v>12.354200000000001</v>
      </c>
      <c r="H166" s="4" t="s">
        <v>108</v>
      </c>
      <c r="K166" s="591">
        <v>1295.01</v>
      </c>
    </row>
    <row r="167" spans="3:12" ht="12.5">
      <c r="H167" s="4" t="s">
        <v>109</v>
      </c>
      <c r="K167" s="271">
        <v>1.5299999999999999E-2</v>
      </c>
      <c r="L167" s="20" t="s">
        <v>772</v>
      </c>
    </row>
    <row r="168" spans="3:12" ht="14">
      <c r="F168" s="4" t="s">
        <v>773</v>
      </c>
      <c r="H168" s="4" t="s">
        <v>112</v>
      </c>
      <c r="K168" s="243">
        <v>7.96</v>
      </c>
      <c r="L168" s="20" t="s">
        <v>113</v>
      </c>
    </row>
    <row r="169" spans="3:12" ht="12.5">
      <c r="F169" s="4">
        <v>35.274000000000001</v>
      </c>
      <c r="H169" s="4" t="s">
        <v>114</v>
      </c>
      <c r="K169" s="4">
        <f>665621/F166/F169</f>
        <v>1527.4172003598271</v>
      </c>
    </row>
    <row r="170" spans="3:12" ht="12.5">
      <c r="H170" s="4" t="s">
        <v>115</v>
      </c>
      <c r="K170" s="4">
        <f>600000/F166/F169</f>
        <v>1376.8350460936422</v>
      </c>
    </row>
    <row r="171" spans="3:12" ht="12.5">
      <c r="H171" s="4" t="s">
        <v>117</v>
      </c>
      <c r="K171" s="4">
        <v>2.2985274569510376E-3</v>
      </c>
    </row>
    <row r="172" spans="3:12" ht="12.5">
      <c r="D172" s="594">
        <v>43097</v>
      </c>
      <c r="E172" s="591">
        <v>1295.01</v>
      </c>
      <c r="H172" s="4" t="s">
        <v>118</v>
      </c>
      <c r="K172" s="4">
        <v>-0.84595445503983147</v>
      </c>
    </row>
    <row r="173" spans="3:12" ht="12.5">
      <c r="C173" s="4"/>
    </row>
    <row r="174" spans="3:12" ht="12.5">
      <c r="C174" s="4"/>
      <c r="H174" s="587" t="s">
        <v>255</v>
      </c>
      <c r="I174" s="490">
        <f>(K172-K171)*63996</f>
        <v>-54284.797867864094</v>
      </c>
    </row>
    <row r="175" spans="3:12" ht="12.5">
      <c r="C175" s="4"/>
    </row>
    <row r="176" spans="3:12" ht="12.5">
      <c r="C176" s="4"/>
    </row>
    <row r="177" spans="3:9" ht="12.5">
      <c r="C177" s="4" t="s">
        <v>778</v>
      </c>
    </row>
    <row r="178" spans="3:9" ht="12.5">
      <c r="C178" s="1029" t="s">
        <v>779</v>
      </c>
      <c r="D178" s="996"/>
      <c r="E178" s="996"/>
      <c r="F178" s="996"/>
      <c r="G178" s="996"/>
      <c r="H178" s="996"/>
      <c r="I178" s="996"/>
    </row>
    <row r="179" spans="3:9" ht="15.75" customHeight="1">
      <c r="C179" s="996"/>
      <c r="D179" s="996"/>
      <c r="E179" s="996"/>
      <c r="F179" s="996"/>
      <c r="G179" s="996"/>
      <c r="H179" s="996"/>
      <c r="I179" s="996"/>
    </row>
    <row r="180" spans="3:9" ht="15.75" customHeight="1">
      <c r="C180" s="996"/>
      <c r="D180" s="996"/>
      <c r="E180" s="996"/>
      <c r="F180" s="996"/>
      <c r="G180" s="996"/>
      <c r="H180" s="996"/>
      <c r="I180" s="996"/>
    </row>
    <row r="181" spans="3:9" ht="15.75" customHeight="1">
      <c r="C181" s="996"/>
      <c r="D181" s="996"/>
      <c r="E181" s="996"/>
      <c r="F181" s="996"/>
      <c r="G181" s="996"/>
      <c r="H181" s="996"/>
      <c r="I181" s="996"/>
    </row>
    <row r="183" spans="3:9" ht="12.5">
      <c r="C183" s="1029" t="s">
        <v>780</v>
      </c>
      <c r="D183" s="996"/>
      <c r="E183" s="996"/>
      <c r="F183" s="996"/>
      <c r="G183" s="996"/>
      <c r="H183" s="996"/>
      <c r="I183" s="996"/>
    </row>
    <row r="184" spans="3:9" ht="15.75" customHeight="1">
      <c r="C184" s="996"/>
      <c r="D184" s="996"/>
      <c r="E184" s="996"/>
      <c r="F184" s="996"/>
      <c r="G184" s="996"/>
      <c r="H184" s="996"/>
      <c r="I184" s="996"/>
    </row>
    <row r="185" spans="3:9" ht="15.75" customHeight="1">
      <c r="C185" s="996"/>
      <c r="D185" s="996"/>
      <c r="E185" s="996"/>
      <c r="F185" s="996"/>
      <c r="G185" s="996"/>
      <c r="H185" s="996"/>
      <c r="I185" s="996"/>
    </row>
    <row r="187" spans="3:9" ht="12.5">
      <c r="C187" s="4">
        <v>125800000</v>
      </c>
      <c r="D187" s="4" t="s">
        <v>495</v>
      </c>
    </row>
    <row r="188" spans="3:9" ht="12.5">
      <c r="C188" s="4">
        <v>77500000</v>
      </c>
    </row>
    <row r="189" spans="3:9" ht="12.5">
      <c r="C189">
        <f>C188+C187</f>
        <v>203300000</v>
      </c>
      <c r="D189" s="4" t="s">
        <v>495</v>
      </c>
    </row>
    <row r="190" spans="3:9" ht="12.5">
      <c r="C190" s="54">
        <v>53706178</v>
      </c>
      <c r="D190" s="4" t="s">
        <v>171</v>
      </c>
    </row>
    <row r="192" spans="3:9" ht="12.5">
      <c r="C192" s="4" t="s">
        <v>258</v>
      </c>
      <c r="D192" s="490">
        <f>C190/E153</f>
        <v>1.1898854444941638</v>
      </c>
    </row>
    <row r="197" spans="3:7" ht="12.5">
      <c r="C197" s="597" t="s">
        <v>786</v>
      </c>
    </row>
    <row r="198" spans="3:7" ht="12.5">
      <c r="C198" s="598" t="s">
        <v>787</v>
      </c>
    </row>
    <row r="199" spans="3:7" ht="12.5">
      <c r="C199" s="4" t="s">
        <v>788</v>
      </c>
      <c r="F199" s="4">
        <v>0.5</v>
      </c>
    </row>
    <row r="200" spans="3:7" ht="12.5">
      <c r="C200" s="4" t="s">
        <v>108</v>
      </c>
      <c r="F200" s="591">
        <v>1295.01</v>
      </c>
    </row>
    <row r="201" spans="3:7" ht="12.5">
      <c r="C201" s="4" t="s">
        <v>109</v>
      </c>
      <c r="F201" s="271">
        <v>1.5299999999999999E-2</v>
      </c>
    </row>
    <row r="202" spans="3:7" ht="14">
      <c r="C202" s="4" t="s">
        <v>112</v>
      </c>
      <c r="F202" s="243">
        <v>7.96</v>
      </c>
    </row>
    <row r="203" spans="3:7" ht="12.5">
      <c r="C203" s="4" t="s">
        <v>114</v>
      </c>
      <c r="F203" s="4">
        <v>1409</v>
      </c>
    </row>
    <row r="204" spans="3:7" ht="12.5">
      <c r="C204" s="4" t="s">
        <v>115</v>
      </c>
      <c r="F204" s="4">
        <v>1300</v>
      </c>
      <c r="G204" s="598"/>
    </row>
    <row r="205" spans="3:7" ht="12.5">
      <c r="C205" s="4" t="s">
        <v>117</v>
      </c>
      <c r="F205" s="4">
        <v>8.096801527464996E-2</v>
      </c>
    </row>
    <row r="206" spans="3:7" ht="12.5">
      <c r="C206" s="4" t="s">
        <v>118</v>
      </c>
      <c r="F206" s="4">
        <v>-0.49267640825896186</v>
      </c>
    </row>
    <row r="208" spans="3:7" ht="12.5">
      <c r="E208" s="4" t="s">
        <v>255</v>
      </c>
      <c r="F208">
        <f>F206-F205</f>
        <v>-0.57364442353361178</v>
      </c>
    </row>
    <row r="209" spans="3:8" ht="12.5">
      <c r="F209" s="490">
        <f>F208*409000</f>
        <v>-234620.56922524722</v>
      </c>
    </row>
    <row r="213" spans="3:8" ht="12.5">
      <c r="C213" s="1026" t="s">
        <v>791</v>
      </c>
      <c r="D213" s="996"/>
      <c r="E213" s="996"/>
      <c r="F213" s="996"/>
      <c r="G213" s="996"/>
      <c r="H213" s="996"/>
    </row>
    <row r="214" spans="3:8" ht="15.75" customHeight="1">
      <c r="C214" s="996"/>
      <c r="D214" s="996"/>
      <c r="E214" s="996"/>
      <c r="F214" s="996"/>
      <c r="G214" s="996"/>
      <c r="H214" s="996"/>
    </row>
    <row r="215" spans="3:8" ht="15.75" customHeight="1">
      <c r="C215" s="996"/>
      <c r="D215" s="996"/>
      <c r="E215" s="996"/>
      <c r="F215" s="996"/>
      <c r="G215" s="996"/>
      <c r="H215" s="996"/>
    </row>
    <row r="217" spans="3:8" ht="12.5">
      <c r="C217" s="4" t="s">
        <v>788</v>
      </c>
      <c r="F217" s="4">
        <v>0.5</v>
      </c>
    </row>
    <row r="218" spans="3:8" ht="14">
      <c r="C218" s="4" t="s">
        <v>108</v>
      </c>
      <c r="F218" s="591">
        <v>1295.01</v>
      </c>
      <c r="H218" s="590">
        <v>1.2827999999999999</v>
      </c>
    </row>
    <row r="219" spans="3:8" ht="12.5">
      <c r="C219" s="4" t="s">
        <v>109</v>
      </c>
      <c r="F219" s="271">
        <v>1.5299999999999999E-2</v>
      </c>
    </row>
    <row r="220" spans="3:8" ht="14">
      <c r="C220" s="4" t="s">
        <v>112</v>
      </c>
      <c r="F220" s="243">
        <v>7.9600000000000004E-2</v>
      </c>
    </row>
    <row r="221" spans="3:8" ht="12.5">
      <c r="C221" s="4" t="s">
        <v>114</v>
      </c>
      <c r="F221" s="4">
        <v>1364.2033052697225</v>
      </c>
    </row>
    <row r="222" spans="3:8" ht="12.5">
      <c r="C222" s="4" t="s">
        <v>115</v>
      </c>
      <c r="F222" s="4">
        <v>1325.2260679763019</v>
      </c>
      <c r="H222" s="73">
        <v>1364.2033052697225</v>
      </c>
    </row>
    <row r="223" spans="3:8" ht="12.5">
      <c r="C223" s="4" t="s">
        <v>117</v>
      </c>
      <c r="F223" s="4">
        <v>0.20520503215521627</v>
      </c>
      <c r="H223" s="73">
        <v>1325.2260679763019</v>
      </c>
    </row>
    <row r="224" spans="3:8" ht="12.5">
      <c r="C224" s="4" t="s">
        <v>118</v>
      </c>
      <c r="F224" s="4">
        <v>-0.62790245219248997</v>
      </c>
    </row>
    <row r="226" spans="4:7" ht="12.5">
      <c r="F226" s="4" t="s">
        <v>255</v>
      </c>
      <c r="G226">
        <f>F224-F223</f>
        <v>-0.83310748434770621</v>
      </c>
    </row>
    <row r="227" spans="4:7" ht="12.5">
      <c r="G227">
        <f>-G226*100000</f>
        <v>83310.748434770619</v>
      </c>
    </row>
    <row r="228" spans="4:7" ht="12.5">
      <c r="F228" s="4" t="s">
        <v>798</v>
      </c>
      <c r="G228">
        <f>221000</f>
        <v>221000</v>
      </c>
    </row>
    <row r="230" spans="4:7" ht="12.5">
      <c r="F230" s="4" t="s">
        <v>760</v>
      </c>
      <c r="G230" s="490">
        <f>G227+G228-F209-I174</f>
        <v>593216.11552788201</v>
      </c>
    </row>
    <row r="234" spans="4:7" ht="12.5">
      <c r="D234" s="4" t="s">
        <v>96</v>
      </c>
      <c r="E234" s="4">
        <v>409000</v>
      </c>
    </row>
    <row r="235" spans="4:7" ht="12.5">
      <c r="E235" s="4">
        <v>64000</v>
      </c>
    </row>
    <row r="236" spans="4:7" ht="12.5">
      <c r="E236" s="4">
        <v>321000</v>
      </c>
    </row>
    <row r="237" spans="4:7" ht="12.5">
      <c r="E237" s="34">
        <f>E236+E235+E234</f>
        <v>794000</v>
      </c>
    </row>
  </sheetData>
  <mergeCells count="6">
    <mergeCell ref="C213:H215"/>
    <mergeCell ref="D4:K6"/>
    <mergeCell ref="B87:K91"/>
    <mergeCell ref="C178:I181"/>
    <mergeCell ref="C183:I185"/>
    <mergeCell ref="H160:L162"/>
  </mergeCells>
  <hyperlinks>
    <hyperlink ref="F164" r:id="rId1"/>
    <hyperlink ref="L167" r:id="rId2"/>
    <hyperlink ref="L168"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R216"/>
  <sheetViews>
    <sheetView workbookViewId="0"/>
  </sheetViews>
  <sheetFormatPr defaultColWidth="14.453125" defaultRowHeight="15.75" customHeight="1"/>
  <cols>
    <col min="3" max="3" width="21.26953125" customWidth="1"/>
    <col min="4" max="4" width="19.26953125" customWidth="1"/>
  </cols>
  <sheetData>
    <row r="2" spans="2:12" ht="18">
      <c r="B2" s="380">
        <v>2009</v>
      </c>
      <c r="C2" s="1033" t="s">
        <v>776</v>
      </c>
      <c r="D2" s="1000"/>
      <c r="E2" s="1000"/>
      <c r="F2" s="1000"/>
      <c r="G2" s="1000"/>
      <c r="H2" s="377" t="s">
        <v>777</v>
      </c>
      <c r="I2" s="107"/>
      <c r="J2" s="107"/>
      <c r="K2" s="107"/>
      <c r="L2" s="108"/>
    </row>
    <row r="3" spans="2:12" ht="12.5">
      <c r="B3" s="109"/>
      <c r="C3" s="996"/>
      <c r="D3" s="996"/>
      <c r="E3" s="996"/>
      <c r="F3" s="996"/>
      <c r="G3" s="996"/>
      <c r="L3" s="110"/>
    </row>
    <row r="4" spans="2:12" ht="12.5">
      <c r="B4" s="109"/>
      <c r="C4" s="1037" t="s">
        <v>781</v>
      </c>
      <c r="D4" s="996"/>
      <c r="E4" s="996"/>
      <c r="F4" s="996"/>
      <c r="G4" s="996"/>
      <c r="L4" s="110"/>
    </row>
    <row r="5" spans="2:12" ht="12.5">
      <c r="B5" s="109"/>
      <c r="C5" s="996"/>
      <c r="D5" s="996"/>
      <c r="E5" s="996"/>
      <c r="F5" s="996"/>
      <c r="G5" s="996"/>
      <c r="I5" s="596" t="s">
        <v>783</v>
      </c>
      <c r="L5" s="110"/>
    </row>
    <row r="6" spans="2:12" ht="12.5">
      <c r="B6" s="109"/>
      <c r="D6" s="4" t="s">
        <v>784</v>
      </c>
      <c r="E6" s="4" t="s">
        <v>171</v>
      </c>
      <c r="F6" s="4" t="s">
        <v>163</v>
      </c>
      <c r="G6" s="4" t="s">
        <v>164</v>
      </c>
      <c r="I6" s="155">
        <v>6567</v>
      </c>
      <c r="L6" s="110"/>
    </row>
    <row r="7" spans="2:12" ht="12.5">
      <c r="B7" s="109"/>
      <c r="C7" s="4" t="s">
        <v>274</v>
      </c>
      <c r="D7" s="4">
        <v>169600</v>
      </c>
      <c r="E7" s="4">
        <v>44803580.100000001</v>
      </c>
      <c r="F7" s="14">
        <v>2.4670000000000001</v>
      </c>
      <c r="G7">
        <f t="shared" ref="G7:G8" si="0">F7*E7</f>
        <v>110530432.1067</v>
      </c>
      <c r="I7" s="479">
        <f>I6/8160</f>
        <v>0.80477941176470591</v>
      </c>
      <c r="J7" s="481" t="s">
        <v>789</v>
      </c>
      <c r="L7" s="110"/>
    </row>
    <row r="8" spans="2:12" ht="12.5">
      <c r="B8" s="109"/>
      <c r="C8" s="4" t="s">
        <v>280</v>
      </c>
      <c r="D8" s="4">
        <v>3190</v>
      </c>
      <c r="E8" s="4">
        <v>21771</v>
      </c>
      <c r="F8" s="33">
        <v>2.35</v>
      </c>
      <c r="G8">
        <f t="shared" si="0"/>
        <v>51161.85</v>
      </c>
      <c r="L8" s="110"/>
    </row>
    <row r="9" spans="2:12" ht="12.5">
      <c r="B9" s="109"/>
      <c r="C9" s="106" t="s">
        <v>285</v>
      </c>
      <c r="D9" s="107"/>
      <c r="E9" s="600">
        <f>SUM(E7:E8)</f>
        <v>44825351.100000001</v>
      </c>
      <c r="F9" s="601"/>
      <c r="G9" s="600">
        <f>SUM(G6:G8)</f>
        <v>110581593.9567</v>
      </c>
      <c r="L9" s="110"/>
    </row>
    <row r="10" spans="2:12" ht="12.5">
      <c r="B10" s="109"/>
      <c r="K10" s="181">
        <v>2723600000</v>
      </c>
      <c r="L10" s="233" t="s">
        <v>267</v>
      </c>
    </row>
    <row r="11" spans="2:12" ht="13">
      <c r="B11" s="109"/>
      <c r="C11" s="602" t="s">
        <v>792</v>
      </c>
      <c r="G11" s="4" t="s">
        <v>572</v>
      </c>
      <c r="H11" s="4" t="s">
        <v>794</v>
      </c>
      <c r="K11" s="155">
        <v>2347300</v>
      </c>
      <c r="L11" s="233" t="s">
        <v>795</v>
      </c>
    </row>
    <row r="12" spans="2:12" ht="12.5">
      <c r="B12" s="109"/>
      <c r="C12" s="156" t="s">
        <v>796</v>
      </c>
      <c r="G12" s="4" t="s">
        <v>572</v>
      </c>
      <c r="H12" s="4" t="s">
        <v>262</v>
      </c>
      <c r="K12" s="4">
        <v>978</v>
      </c>
      <c r="L12" s="233" t="s">
        <v>163</v>
      </c>
    </row>
    <row r="13" spans="2:12" ht="12.5">
      <c r="B13" s="109"/>
      <c r="K13">
        <f>K12*K11</f>
        <v>2295659400</v>
      </c>
      <c r="L13" s="233" t="s">
        <v>797</v>
      </c>
    </row>
    <row r="14" spans="2:12" ht="13">
      <c r="B14" s="109"/>
      <c r="C14" s="604">
        <v>1187.3</v>
      </c>
      <c r="D14" s="4" t="s">
        <v>79</v>
      </c>
      <c r="K14" s="34">
        <f>1-(K13/K10)</f>
        <v>0.15712314583639297</v>
      </c>
      <c r="L14" s="233" t="s">
        <v>254</v>
      </c>
    </row>
    <row r="15" spans="2:12" ht="12.5">
      <c r="B15" s="109"/>
      <c r="C15" s="1002" t="s">
        <v>799</v>
      </c>
      <c r="D15" s="996"/>
      <c r="E15" s="996"/>
      <c r="F15" s="996"/>
      <c r="G15" s="996"/>
      <c r="H15" s="996"/>
      <c r="I15" s="4" t="s">
        <v>801</v>
      </c>
      <c r="L15" s="110"/>
    </row>
    <row r="16" spans="2:12" ht="12.5">
      <c r="B16" s="109"/>
      <c r="C16" s="996"/>
      <c r="D16" s="996"/>
      <c r="E16" s="996"/>
      <c r="F16" s="996"/>
      <c r="G16" s="996"/>
      <c r="H16" s="996"/>
      <c r="L16" s="110"/>
    </row>
    <row r="17" spans="2:12" ht="12.5">
      <c r="B17" s="109"/>
      <c r="C17" s="54" t="s">
        <v>802</v>
      </c>
      <c r="L17" s="110"/>
    </row>
    <row r="18" spans="2:12" ht="12.5">
      <c r="B18" s="109"/>
      <c r="L18" s="110"/>
    </row>
    <row r="19" spans="2:12" ht="12.5">
      <c r="B19" s="113"/>
      <c r="C19" s="122" t="s">
        <v>803</v>
      </c>
      <c r="D19" s="114"/>
      <c r="E19" s="114"/>
      <c r="F19" s="114"/>
      <c r="G19" s="114"/>
      <c r="H19" s="114"/>
      <c r="I19" s="114"/>
      <c r="J19" s="114"/>
      <c r="K19" s="114"/>
      <c r="L19" s="115"/>
    </row>
    <row r="21" spans="2:12" ht="12.5">
      <c r="B21" s="139"/>
      <c r="C21" s="107"/>
      <c r="D21" s="107"/>
      <c r="E21" s="107"/>
      <c r="F21" s="107"/>
      <c r="G21" s="107"/>
      <c r="H21" s="107"/>
      <c r="I21" s="107"/>
      <c r="J21" s="107"/>
      <c r="K21" s="107"/>
      <c r="L21" s="108"/>
    </row>
    <row r="22" spans="2:12" ht="18">
      <c r="B22" s="518">
        <v>2010</v>
      </c>
      <c r="C22" s="4" t="s">
        <v>805</v>
      </c>
      <c r="L22" s="110"/>
    </row>
    <row r="23" spans="2:12" ht="12.5">
      <c r="B23" s="109"/>
      <c r="C23" s="4" t="s">
        <v>806</v>
      </c>
      <c r="I23" s="4" t="s">
        <v>807</v>
      </c>
      <c r="L23" s="110"/>
    </row>
    <row r="24" spans="2:12" ht="12.5">
      <c r="B24" s="109"/>
      <c r="D24" s="4" t="s">
        <v>784</v>
      </c>
      <c r="E24" s="4" t="s">
        <v>171</v>
      </c>
      <c r="F24" s="4" t="s">
        <v>163</v>
      </c>
      <c r="G24" s="4" t="s">
        <v>164</v>
      </c>
      <c r="L24" s="110"/>
    </row>
    <row r="25" spans="2:12" ht="12.5">
      <c r="B25" s="109"/>
      <c r="C25" s="4" t="s">
        <v>274</v>
      </c>
      <c r="D25" s="4">
        <v>186500</v>
      </c>
      <c r="E25" s="4">
        <v>49268087.799999997</v>
      </c>
      <c r="F25" s="14">
        <v>2.992</v>
      </c>
      <c r="G25">
        <f t="shared" ref="G25:G26" si="1">F25*E25</f>
        <v>147410118.69759998</v>
      </c>
      <c r="I25" s="4">
        <v>7368</v>
      </c>
      <c r="L25" s="110"/>
    </row>
    <row r="26" spans="2:12" ht="12.5">
      <c r="B26" s="109"/>
      <c r="C26" s="4" t="s">
        <v>280</v>
      </c>
      <c r="D26" s="4">
        <v>3870</v>
      </c>
      <c r="E26" s="4">
        <v>1022346</v>
      </c>
      <c r="F26" s="29">
        <v>2.79</v>
      </c>
      <c r="G26">
        <f t="shared" si="1"/>
        <v>2852345.34</v>
      </c>
      <c r="I26" s="479">
        <f>I25/8350</f>
        <v>0.88239520958083828</v>
      </c>
      <c r="J26" s="4" t="s">
        <v>808</v>
      </c>
      <c r="L26" s="110"/>
    </row>
    <row r="27" spans="2:12" ht="12.5">
      <c r="B27" s="109"/>
      <c r="C27" s="107"/>
      <c r="D27" s="107"/>
      <c r="E27" s="610">
        <f>SUM(E25:E26)</f>
        <v>50290433.799999997</v>
      </c>
      <c r="F27" s="107"/>
      <c r="G27" s="610">
        <f>SUM(G25:G26)</f>
        <v>150262464.03759998</v>
      </c>
      <c r="L27" s="110"/>
    </row>
    <row r="28" spans="2:12" ht="12.5">
      <c r="B28" s="109"/>
      <c r="L28" s="110"/>
    </row>
    <row r="29" spans="2:12" ht="12.5">
      <c r="B29" s="109"/>
      <c r="L29" s="110"/>
    </row>
    <row r="30" spans="2:12" ht="13">
      <c r="B30" s="109"/>
      <c r="C30" s="602" t="s">
        <v>809</v>
      </c>
      <c r="L30" s="110"/>
    </row>
    <row r="31" spans="2:12" ht="12.5">
      <c r="B31" s="109"/>
      <c r="C31" s="156" t="s">
        <v>810</v>
      </c>
      <c r="I31" s="4" t="s">
        <v>811</v>
      </c>
      <c r="J31" s="4">
        <v>2520300</v>
      </c>
      <c r="K31" s="4" t="s">
        <v>311</v>
      </c>
      <c r="L31" s="110"/>
    </row>
    <row r="32" spans="2:12" ht="12.5">
      <c r="B32" s="109"/>
      <c r="J32">
        <f>J31*1240</f>
        <v>3125172000</v>
      </c>
      <c r="K32" s="4" t="s">
        <v>797</v>
      </c>
      <c r="L32" s="110"/>
    </row>
    <row r="33" spans="2:12" ht="13">
      <c r="B33" s="109"/>
      <c r="C33" s="613" t="s">
        <v>812</v>
      </c>
      <c r="D33" s="614" t="s">
        <v>813</v>
      </c>
      <c r="E33" s="615"/>
      <c r="F33" s="616"/>
      <c r="G33" s="618"/>
      <c r="I33" s="619"/>
      <c r="J33" s="181">
        <v>3799800000</v>
      </c>
      <c r="K33" s="4" t="s">
        <v>267</v>
      </c>
      <c r="L33" s="110"/>
    </row>
    <row r="34" spans="2:12" ht="12.5">
      <c r="B34" s="109"/>
      <c r="J34" s="34">
        <f>1-(J32/J33)</f>
        <v>0.17754302858045157</v>
      </c>
      <c r="K34" s="4" t="s">
        <v>254</v>
      </c>
      <c r="L34" s="110"/>
    </row>
    <row r="35" spans="2:12" ht="12.5">
      <c r="B35" s="113"/>
      <c r="C35" s="146" t="s">
        <v>814</v>
      </c>
      <c r="D35" s="189"/>
      <c r="E35" s="189"/>
      <c r="F35" s="114"/>
      <c r="G35" s="114"/>
      <c r="H35" s="114"/>
      <c r="I35" s="114"/>
      <c r="J35" s="114"/>
      <c r="K35" s="114"/>
      <c r="L35" s="115"/>
    </row>
    <row r="39" spans="2:12" ht="12.5">
      <c r="B39" s="139"/>
      <c r="C39" s="106" t="s">
        <v>815</v>
      </c>
      <c r="D39" s="107"/>
      <c r="E39" s="107"/>
      <c r="F39" s="107"/>
      <c r="G39" s="107"/>
      <c r="H39" s="107"/>
      <c r="I39" s="107"/>
      <c r="J39" s="107"/>
      <c r="K39" s="108"/>
    </row>
    <row r="40" spans="2:12" ht="18">
      <c r="B40" s="518">
        <v>2011</v>
      </c>
      <c r="C40" s="4">
        <v>2011</v>
      </c>
      <c r="E40" s="256" t="s">
        <v>816</v>
      </c>
      <c r="K40" s="110"/>
    </row>
    <row r="41" spans="2:12" ht="12.5">
      <c r="B41" s="71" t="s">
        <v>274</v>
      </c>
      <c r="C41" s="4">
        <v>1708048</v>
      </c>
      <c r="E41" s="275" t="s">
        <v>817</v>
      </c>
      <c r="K41" s="110"/>
    </row>
    <row r="42" spans="2:12" ht="12.5">
      <c r="B42" s="71" t="s">
        <v>171</v>
      </c>
      <c r="C42" s="4">
        <v>41966781</v>
      </c>
      <c r="K42" s="110"/>
    </row>
    <row r="43" spans="2:12" ht="13">
      <c r="B43" s="71" t="s">
        <v>280</v>
      </c>
      <c r="C43" s="4">
        <v>29401</v>
      </c>
      <c r="E43" s="621">
        <v>-2042</v>
      </c>
      <c r="F43" s="4" t="s">
        <v>79</v>
      </c>
      <c r="K43" s="110"/>
    </row>
    <row r="44" spans="2:12" ht="13">
      <c r="B44" s="622" t="s">
        <v>171</v>
      </c>
      <c r="C44" s="122">
        <v>803306</v>
      </c>
      <c r="E44" s="182"/>
      <c r="K44" s="110"/>
    </row>
    <row r="45" spans="2:12" ht="12.5">
      <c r="B45" s="71" t="s">
        <v>819</v>
      </c>
      <c r="C45" s="34">
        <f>C44+C42</f>
        <v>42770087</v>
      </c>
      <c r="E45" s="4" t="s">
        <v>822</v>
      </c>
      <c r="K45" s="110"/>
    </row>
    <row r="46" spans="2:12" ht="12.5">
      <c r="B46" s="71" t="s">
        <v>823</v>
      </c>
      <c r="C46" s="14">
        <v>3.84</v>
      </c>
      <c r="E46" s="4" t="s">
        <v>825</v>
      </c>
      <c r="K46" s="110"/>
    </row>
    <row r="47" spans="2:12" ht="12.5">
      <c r="B47" s="71" t="s">
        <v>827</v>
      </c>
      <c r="C47" s="624">
        <v>3.53</v>
      </c>
      <c r="E47" s="4" t="s">
        <v>829</v>
      </c>
      <c r="K47" s="110"/>
    </row>
    <row r="48" spans="2:12" ht="12.5">
      <c r="B48" s="71" t="s">
        <v>830</v>
      </c>
      <c r="C48">
        <f>(C42*C46)+(C44*C47)</f>
        <v>163988109.22</v>
      </c>
      <c r="K48" s="110"/>
    </row>
    <row r="49" spans="2:11" ht="12.5">
      <c r="B49" s="109"/>
      <c r="K49" s="110"/>
    </row>
    <row r="50" spans="2:11" ht="13">
      <c r="B50" s="626"/>
      <c r="C50" s="628"/>
      <c r="D50" s="1035">
        <v>2011</v>
      </c>
      <c r="E50" s="996"/>
      <c r="F50" s="628"/>
      <c r="K50" s="110"/>
    </row>
    <row r="51" spans="2:11" ht="13">
      <c r="B51" s="631" t="s">
        <v>833</v>
      </c>
      <c r="C51" s="628"/>
      <c r="D51" s="632" t="s">
        <v>296</v>
      </c>
      <c r="E51" s="621">
        <v>3912</v>
      </c>
      <c r="F51" s="628"/>
      <c r="G51" s="633"/>
      <c r="H51" s="635"/>
      <c r="I51" s="635"/>
      <c r="J51" s="633"/>
      <c r="K51" s="110"/>
    </row>
    <row r="52" spans="2:11" ht="13">
      <c r="B52" s="631" t="s">
        <v>834</v>
      </c>
      <c r="C52" s="628"/>
      <c r="D52" s="628"/>
      <c r="E52" s="630">
        <v>795</v>
      </c>
      <c r="F52" s="628"/>
      <c r="G52" s="633"/>
      <c r="H52" s="1036"/>
      <c r="I52" s="996"/>
      <c r="J52" s="633"/>
      <c r="K52" s="110"/>
    </row>
    <row r="53" spans="2:11" ht="13">
      <c r="B53" s="631" t="s">
        <v>836</v>
      </c>
      <c r="C53" s="628"/>
      <c r="D53" s="628"/>
      <c r="E53" s="630">
        <v>338</v>
      </c>
      <c r="F53" s="628"/>
      <c r="G53" s="633"/>
      <c r="H53" s="638"/>
      <c r="I53" s="639"/>
      <c r="J53" s="633"/>
      <c r="K53" s="110"/>
    </row>
    <row r="54" spans="2:11" ht="13">
      <c r="B54" s="631" t="s">
        <v>838</v>
      </c>
      <c r="C54" s="628"/>
      <c r="D54" s="628"/>
      <c r="E54" s="630">
        <v>195</v>
      </c>
      <c r="F54" s="628"/>
      <c r="G54" s="633"/>
      <c r="H54" s="633"/>
      <c r="I54" s="636"/>
      <c r="J54" s="633"/>
      <c r="K54" s="110"/>
    </row>
    <row r="55" spans="2:11" ht="13">
      <c r="B55" s="631" t="s">
        <v>839</v>
      </c>
      <c r="C55" s="628"/>
      <c r="D55" s="628"/>
      <c r="E55" s="630">
        <v>104</v>
      </c>
      <c r="F55" s="628"/>
      <c r="G55" s="633"/>
      <c r="H55" s="633"/>
      <c r="I55" s="636"/>
      <c r="J55" s="633"/>
      <c r="K55" s="110"/>
    </row>
    <row r="56" spans="2:11" ht="13">
      <c r="B56" s="631" t="s">
        <v>840</v>
      </c>
      <c r="C56" s="628"/>
      <c r="D56" s="628"/>
      <c r="E56" s="630">
        <v>18</v>
      </c>
      <c r="F56" s="628"/>
      <c r="G56" s="633"/>
      <c r="H56" s="633"/>
      <c r="I56" s="636"/>
      <c r="J56" s="633"/>
      <c r="K56" s="110"/>
    </row>
    <row r="57" spans="2:11" ht="13">
      <c r="B57" s="640"/>
      <c r="C57" s="628"/>
      <c r="D57" s="632" t="s">
        <v>296</v>
      </c>
      <c r="E57" s="621">
        <v>5362</v>
      </c>
      <c r="F57" s="628"/>
      <c r="G57" s="633"/>
      <c r="H57" s="633"/>
      <c r="I57" s="636"/>
      <c r="J57" s="633"/>
      <c r="K57" s="110"/>
    </row>
    <row r="58" spans="2:11" ht="13">
      <c r="B58" s="622" t="s">
        <v>254</v>
      </c>
      <c r="C58" s="114"/>
      <c r="D58" s="114"/>
      <c r="E58" s="189">
        <f>1-(E51/E57)</f>
        <v>0.27042148452070125</v>
      </c>
      <c r="F58" s="114"/>
      <c r="G58" s="641"/>
      <c r="H58" s="641"/>
      <c r="I58" s="642"/>
      <c r="J58" s="641"/>
      <c r="K58" s="115"/>
    </row>
    <row r="61" spans="2:11" ht="12.5">
      <c r="B61" s="139"/>
      <c r="C61" s="106" t="s">
        <v>815</v>
      </c>
      <c r="D61" s="107"/>
      <c r="E61" s="107"/>
      <c r="F61" s="107"/>
      <c r="G61" s="107"/>
      <c r="H61" s="107"/>
      <c r="I61" s="107"/>
      <c r="J61" s="108"/>
    </row>
    <row r="62" spans="2:11" ht="18">
      <c r="B62" s="518">
        <v>2012</v>
      </c>
      <c r="C62" s="4">
        <v>2012</v>
      </c>
      <c r="D62" s="643"/>
      <c r="E62" s="644" t="s">
        <v>842</v>
      </c>
      <c r="J62" s="110"/>
    </row>
    <row r="63" spans="2:11" ht="12.5">
      <c r="B63" s="71" t="s">
        <v>274</v>
      </c>
      <c r="C63" s="4">
        <v>1931045</v>
      </c>
      <c r="E63" s="359" t="s">
        <v>843</v>
      </c>
      <c r="J63" s="110"/>
    </row>
    <row r="64" spans="2:11" ht="12.5">
      <c r="B64" s="71" t="s">
        <v>171</v>
      </c>
      <c r="C64" s="4">
        <v>47445823</v>
      </c>
      <c r="H64">
        <f>(2.55+2.8)/2</f>
        <v>2.6749999999999998</v>
      </c>
      <c r="I64" s="4" t="s">
        <v>845</v>
      </c>
      <c r="J64" s="110"/>
    </row>
    <row r="65" spans="2:10" ht="13">
      <c r="B65" s="71" t="s">
        <v>280</v>
      </c>
      <c r="C65" s="4">
        <v>35176</v>
      </c>
      <c r="E65" s="645">
        <v>-2337</v>
      </c>
      <c r="F65" s="4" t="s">
        <v>741</v>
      </c>
      <c r="J65" s="110"/>
    </row>
    <row r="66" spans="2:10" ht="12.5">
      <c r="B66" s="622" t="s">
        <v>171</v>
      </c>
      <c r="C66" s="122">
        <v>961092</v>
      </c>
      <c r="J66" s="110"/>
    </row>
    <row r="67" spans="2:10" ht="12.5">
      <c r="B67" s="71" t="s">
        <v>819</v>
      </c>
      <c r="C67">
        <f>C66+C64</f>
        <v>48406915</v>
      </c>
      <c r="E67" s="4" t="s">
        <v>822</v>
      </c>
      <c r="J67" s="110"/>
    </row>
    <row r="68" spans="2:10" ht="12.5">
      <c r="B68" s="71" t="s">
        <v>823</v>
      </c>
      <c r="C68" s="14">
        <v>3.968</v>
      </c>
      <c r="E68" s="4" t="s">
        <v>825</v>
      </c>
      <c r="J68" s="110"/>
    </row>
    <row r="69" spans="2:10" ht="12.5">
      <c r="B69" s="71" t="s">
        <v>827</v>
      </c>
      <c r="C69" s="624">
        <v>3.64</v>
      </c>
      <c r="E69" s="4" t="s">
        <v>846</v>
      </c>
      <c r="J69" s="110"/>
    </row>
    <row r="70" spans="2:10" ht="12.5">
      <c r="B70" s="71" t="s">
        <v>830</v>
      </c>
      <c r="C70">
        <f>(C64*C68)+(C66*C69)</f>
        <v>191763400.544</v>
      </c>
      <c r="J70" s="110"/>
    </row>
    <row r="71" spans="2:10" ht="12.5">
      <c r="B71" s="109"/>
      <c r="J71" s="110"/>
    </row>
    <row r="72" spans="2:10" ht="15.5">
      <c r="B72" s="647" t="s">
        <v>833</v>
      </c>
      <c r="C72" s="649"/>
      <c r="D72" s="649"/>
      <c r="E72" s="650">
        <v>3908</v>
      </c>
      <c r="F72" s="649"/>
      <c r="G72" s="652"/>
      <c r="H72" s="652"/>
      <c r="I72" s="653">
        <v>3912</v>
      </c>
      <c r="J72" s="654"/>
    </row>
    <row r="73" spans="2:10" ht="15.5">
      <c r="B73" s="656"/>
      <c r="C73" s="996"/>
      <c r="D73" s="996"/>
      <c r="E73" s="996"/>
      <c r="F73" s="996"/>
      <c r="G73" s="1038"/>
      <c r="H73" s="996"/>
      <c r="I73" s="996"/>
      <c r="J73" s="998"/>
    </row>
    <row r="74" spans="2:10" ht="15.5">
      <c r="B74" s="647" t="s">
        <v>834</v>
      </c>
      <c r="C74" s="649"/>
      <c r="D74" s="649"/>
      <c r="E74" s="658">
        <v>815</v>
      </c>
      <c r="F74" s="649"/>
      <c r="G74" s="652"/>
      <c r="H74" s="652"/>
      <c r="I74" s="659">
        <v>795</v>
      </c>
      <c r="J74" s="654"/>
    </row>
    <row r="75" spans="2:10" ht="15.5">
      <c r="B75" s="656"/>
      <c r="C75" s="996"/>
      <c r="D75" s="996"/>
      <c r="E75" s="996"/>
      <c r="F75" s="996"/>
      <c r="G75" s="1038"/>
      <c r="H75" s="996"/>
      <c r="I75" s="996"/>
      <c r="J75" s="998"/>
    </row>
    <row r="76" spans="2:10" ht="15.5">
      <c r="B76" s="647" t="s">
        <v>836</v>
      </c>
      <c r="C76" s="649"/>
      <c r="D76" s="649"/>
      <c r="E76" s="658">
        <v>366</v>
      </c>
      <c r="F76" s="649"/>
      <c r="G76" s="652"/>
      <c r="H76" s="652"/>
      <c r="I76" s="659">
        <v>338</v>
      </c>
      <c r="J76" s="654"/>
    </row>
    <row r="77" spans="2:10" ht="15.5">
      <c r="B77" s="656"/>
      <c r="C77" s="996"/>
      <c r="D77" s="996"/>
      <c r="E77" s="996"/>
      <c r="F77" s="996"/>
      <c r="G77" s="1038"/>
      <c r="H77" s="996"/>
      <c r="I77" s="996"/>
      <c r="J77" s="998"/>
    </row>
    <row r="78" spans="2:10" ht="15.5">
      <c r="B78" s="647" t="s">
        <v>838</v>
      </c>
      <c r="C78" s="649"/>
      <c r="D78" s="649"/>
      <c r="E78" s="658">
        <v>234</v>
      </c>
      <c r="F78" s="649"/>
      <c r="G78" s="652"/>
      <c r="H78" s="652"/>
      <c r="I78" s="659">
        <v>195</v>
      </c>
      <c r="J78" s="654"/>
    </row>
    <row r="79" spans="2:10" ht="15.5">
      <c r="B79" s="656"/>
      <c r="C79" s="996"/>
      <c r="D79" s="996"/>
      <c r="E79" s="996"/>
      <c r="F79" s="996"/>
      <c r="G79" s="1038"/>
      <c r="H79" s="996"/>
      <c r="I79" s="996"/>
      <c r="J79" s="998"/>
    </row>
    <row r="80" spans="2:10" ht="15.5">
      <c r="B80" s="647" t="s">
        <v>839</v>
      </c>
      <c r="C80" s="649"/>
      <c r="D80" s="649"/>
      <c r="E80" s="658">
        <v>97</v>
      </c>
      <c r="F80" s="649"/>
      <c r="G80" s="652"/>
      <c r="H80" s="652"/>
      <c r="I80" s="659">
        <v>104</v>
      </c>
      <c r="J80" s="654"/>
    </row>
    <row r="81" spans="2:10" ht="15.5">
      <c r="B81" s="656"/>
      <c r="C81" s="1039"/>
      <c r="D81" s="996"/>
      <c r="E81" s="996"/>
      <c r="F81" s="996"/>
      <c r="G81" s="1038"/>
      <c r="H81" s="996"/>
      <c r="I81" s="996"/>
      <c r="J81" s="998"/>
    </row>
    <row r="82" spans="2:10" ht="15.5">
      <c r="B82" s="647" t="s">
        <v>840</v>
      </c>
      <c r="C82" s="649"/>
      <c r="D82" s="649"/>
      <c r="E82" s="658">
        <v>15</v>
      </c>
      <c r="F82" s="649"/>
      <c r="G82" s="652"/>
      <c r="H82" s="652"/>
      <c r="I82" s="659">
        <v>18</v>
      </c>
      <c r="J82" s="654"/>
    </row>
    <row r="83" spans="2:10" ht="15.5">
      <c r="B83" s="661"/>
      <c r="C83" s="662"/>
      <c r="D83" s="1041">
        <v>5435</v>
      </c>
      <c r="E83" s="996"/>
      <c r="F83" s="649"/>
      <c r="G83" s="652"/>
      <c r="H83" s="1040">
        <v>5362</v>
      </c>
      <c r="I83" s="996"/>
      <c r="J83" s="654"/>
    </row>
    <row r="84" spans="2:10" ht="12.5">
      <c r="B84" s="622" t="s">
        <v>254</v>
      </c>
      <c r="C84" s="122"/>
      <c r="D84" s="114"/>
      <c r="E84" s="663">
        <f>1-(E72/D83)</f>
        <v>0.28095676172953077</v>
      </c>
      <c r="F84" s="114"/>
      <c r="G84" s="114"/>
      <c r="H84" s="114"/>
      <c r="I84" s="114"/>
      <c r="J84" s="115"/>
    </row>
    <row r="85" spans="2:10" ht="12.5">
      <c r="B85" s="4"/>
      <c r="C85" s="4"/>
    </row>
    <row r="86" spans="2:10" ht="12.5">
      <c r="B86" s="4"/>
      <c r="C86" s="4"/>
    </row>
    <row r="87" spans="2:10" ht="18">
      <c r="B87" s="380">
        <v>2013</v>
      </c>
      <c r="C87" s="106"/>
      <c r="D87" s="107"/>
      <c r="E87" s="107"/>
      <c r="F87" s="107"/>
      <c r="G87" s="107"/>
      <c r="H87" s="107"/>
      <c r="I87" s="107"/>
      <c r="J87" s="108"/>
    </row>
    <row r="88" spans="2:10" ht="13">
      <c r="B88" s="71" t="s">
        <v>274</v>
      </c>
      <c r="C88" s="4">
        <v>2121186</v>
      </c>
      <c r="E88" s="665" t="s">
        <v>864</v>
      </c>
      <c r="J88" s="110"/>
    </row>
    <row r="89" spans="2:10" ht="12.5">
      <c r="B89" s="71" t="s">
        <v>171</v>
      </c>
      <c r="C89" s="4">
        <v>52117592</v>
      </c>
      <c r="E89" s="359" t="s">
        <v>865</v>
      </c>
      <c r="J89" s="110"/>
    </row>
    <row r="90" spans="2:10" ht="12.5">
      <c r="B90" s="71" t="s">
        <v>280</v>
      </c>
      <c r="C90" s="4">
        <v>38757</v>
      </c>
      <c r="J90" s="110"/>
    </row>
    <row r="91" spans="2:10" ht="13">
      <c r="B91" s="622" t="s">
        <v>171</v>
      </c>
      <c r="C91" s="122">
        <v>1058934</v>
      </c>
      <c r="E91" s="1031" t="s">
        <v>868</v>
      </c>
      <c r="F91" s="996"/>
      <c r="G91" s="669" t="s">
        <v>692</v>
      </c>
      <c r="H91" s="4" t="s">
        <v>264</v>
      </c>
      <c r="J91" s="110"/>
    </row>
    <row r="92" spans="2:10" ht="12.5">
      <c r="B92" s="71" t="s">
        <v>819</v>
      </c>
      <c r="C92">
        <f>C91+C89</f>
        <v>53176526</v>
      </c>
      <c r="J92" s="110"/>
    </row>
    <row r="93" spans="2:10" ht="12.5">
      <c r="B93" s="71" t="s">
        <v>823</v>
      </c>
      <c r="C93" s="14">
        <v>3.9220000000000002</v>
      </c>
      <c r="E93" s="4" t="s">
        <v>822</v>
      </c>
      <c r="J93" s="110"/>
    </row>
    <row r="94" spans="2:10" ht="12.5">
      <c r="B94" s="71" t="s">
        <v>827</v>
      </c>
      <c r="C94" s="624">
        <v>3.53</v>
      </c>
      <c r="E94" s="4" t="s">
        <v>825</v>
      </c>
      <c r="J94" s="110"/>
    </row>
    <row r="95" spans="2:10" ht="12.5">
      <c r="B95" s="71" t="s">
        <v>830</v>
      </c>
      <c r="C95">
        <f>(C89*C93)+(C91*C94)</f>
        <v>208143232.84400001</v>
      </c>
      <c r="E95" s="4" t="s">
        <v>846</v>
      </c>
      <c r="J95" s="110"/>
    </row>
    <row r="96" spans="2:10" ht="12.5">
      <c r="B96" s="109"/>
      <c r="J96" s="110"/>
    </row>
    <row r="97" spans="2:10" ht="13">
      <c r="B97" s="672"/>
      <c r="C97" s="1031">
        <v>2013</v>
      </c>
      <c r="D97" s="996"/>
      <c r="E97" s="674"/>
      <c r="F97" s="1034">
        <v>2012</v>
      </c>
      <c r="G97" s="996"/>
      <c r="H97" s="578"/>
      <c r="J97" s="110"/>
    </row>
    <row r="98" spans="2:10" ht="13">
      <c r="B98" s="677" t="s">
        <v>833</v>
      </c>
      <c r="C98" s="669" t="s">
        <v>296</v>
      </c>
      <c r="D98" s="678">
        <v>2886</v>
      </c>
      <c r="E98" s="674"/>
      <c r="F98" s="679" t="s">
        <v>296</v>
      </c>
      <c r="G98" s="680">
        <v>3527</v>
      </c>
      <c r="H98" s="578"/>
      <c r="J98" s="110"/>
    </row>
    <row r="99" spans="2:10" ht="13">
      <c r="B99" s="677" t="s">
        <v>834</v>
      </c>
      <c r="C99" s="1031">
        <v>528</v>
      </c>
      <c r="D99" s="996"/>
      <c r="E99" s="674"/>
      <c r="F99" s="1034">
        <v>799</v>
      </c>
      <c r="G99" s="996"/>
      <c r="H99" s="578"/>
      <c r="J99" s="110"/>
    </row>
    <row r="100" spans="2:10" ht="13">
      <c r="B100" s="677" t="s">
        <v>838</v>
      </c>
      <c r="C100" s="1031">
        <v>167</v>
      </c>
      <c r="D100" s="996"/>
      <c r="E100" s="674"/>
      <c r="F100" s="1034">
        <v>234</v>
      </c>
      <c r="G100" s="996"/>
      <c r="H100" s="578"/>
      <c r="J100" s="110"/>
    </row>
    <row r="101" spans="2:10" ht="13">
      <c r="B101" s="677" t="s">
        <v>839</v>
      </c>
      <c r="C101" s="1031">
        <v>99</v>
      </c>
      <c r="D101" s="996"/>
      <c r="E101" s="674"/>
      <c r="F101" s="1034">
        <v>97</v>
      </c>
      <c r="G101" s="996"/>
      <c r="H101" s="578"/>
      <c r="J101" s="110"/>
    </row>
    <row r="102" spans="2:10" ht="13">
      <c r="B102" s="677" t="s">
        <v>836</v>
      </c>
      <c r="C102" s="1031">
        <v>7</v>
      </c>
      <c r="D102" s="996"/>
      <c r="E102" s="674"/>
      <c r="F102" s="1034">
        <v>3</v>
      </c>
      <c r="G102" s="996"/>
      <c r="H102" s="578"/>
      <c r="J102" s="110"/>
    </row>
    <row r="103" spans="2:10" ht="13">
      <c r="B103" s="683"/>
      <c r="C103" s="685" t="s">
        <v>296</v>
      </c>
      <c r="D103" s="687">
        <v>3687</v>
      </c>
      <c r="E103" s="689"/>
      <c r="F103" s="691" t="s">
        <v>296</v>
      </c>
      <c r="G103" s="693">
        <v>4660</v>
      </c>
      <c r="H103" s="695"/>
      <c r="J103" s="110"/>
    </row>
    <row r="104" spans="2:10" ht="12.5">
      <c r="B104" s="622" t="s">
        <v>254</v>
      </c>
      <c r="C104" s="122"/>
      <c r="D104" s="663">
        <f>1-(D98/D103)</f>
        <v>0.21724979658258747</v>
      </c>
      <c r="E104" s="114"/>
      <c r="F104" s="114"/>
      <c r="G104" s="114"/>
      <c r="H104" s="114"/>
      <c r="I104" s="114"/>
      <c r="J104" s="115"/>
    </row>
    <row r="105" spans="2:10" ht="12.5">
      <c r="C105" s="4"/>
    </row>
    <row r="107" spans="2:10" ht="18">
      <c r="B107" s="139"/>
      <c r="C107" s="697">
        <v>2014</v>
      </c>
      <c r="D107" s="107"/>
      <c r="E107" s="107"/>
      <c r="F107" s="107"/>
      <c r="G107" s="107"/>
      <c r="H107" s="108"/>
    </row>
    <row r="108" spans="2:10" ht="13">
      <c r="B108" s="71" t="s">
        <v>274</v>
      </c>
      <c r="C108" s="4">
        <v>2242789</v>
      </c>
      <c r="E108" s="665" t="s">
        <v>881</v>
      </c>
      <c r="H108" s="110"/>
    </row>
    <row r="109" spans="2:10" ht="12.5">
      <c r="B109" s="71" t="s">
        <v>171</v>
      </c>
      <c r="C109" s="4">
        <v>55105380</v>
      </c>
      <c r="E109" s="359" t="s">
        <v>882</v>
      </c>
      <c r="H109" s="110"/>
    </row>
    <row r="110" spans="2:10" ht="12.5">
      <c r="B110" s="71" t="s">
        <v>280</v>
      </c>
      <c r="C110" s="4">
        <v>34058</v>
      </c>
      <c r="H110" s="110"/>
    </row>
    <row r="111" spans="2:10" ht="13">
      <c r="B111" s="622" t="s">
        <v>171</v>
      </c>
      <c r="C111" s="122">
        <v>930546</v>
      </c>
      <c r="E111" s="667" t="s">
        <v>884</v>
      </c>
      <c r="F111" s="698" t="s">
        <v>164</v>
      </c>
      <c r="G111" s="674"/>
      <c r="H111" s="110"/>
    </row>
    <row r="112" spans="2:10" ht="12.5">
      <c r="B112" s="71" t="s">
        <v>819</v>
      </c>
      <c r="C112">
        <f>C111+C109</f>
        <v>56035926</v>
      </c>
      <c r="E112" s="699"/>
      <c r="H112" s="110"/>
    </row>
    <row r="113" spans="2:10" ht="12.5">
      <c r="B113" s="71" t="s">
        <v>823</v>
      </c>
      <c r="C113" s="14">
        <v>3.8250000000000002</v>
      </c>
      <c r="E113" s="4" t="s">
        <v>822</v>
      </c>
      <c r="H113" s="110"/>
    </row>
    <row r="114" spans="2:10" ht="12.5">
      <c r="B114" s="71" t="s">
        <v>827</v>
      </c>
      <c r="C114" s="624">
        <v>3.37</v>
      </c>
      <c r="E114" s="4" t="s">
        <v>825</v>
      </c>
      <c r="H114" s="110"/>
    </row>
    <row r="115" spans="2:10" ht="12.5">
      <c r="B115" s="71" t="s">
        <v>830</v>
      </c>
      <c r="C115">
        <f>(C109*C113)+(C111*C114)</f>
        <v>213914018.52000001</v>
      </c>
      <c r="E115" s="4" t="s">
        <v>846</v>
      </c>
      <c r="H115" s="110"/>
    </row>
    <row r="116" spans="2:10" ht="12.5">
      <c r="B116" s="700"/>
      <c r="C116" s="699"/>
      <c r="D116" s="699"/>
      <c r="E116" s="699"/>
      <c r="F116" s="699"/>
      <c r="G116" s="699"/>
      <c r="H116" s="701"/>
    </row>
    <row r="117" spans="2:10" ht="13">
      <c r="B117" s="702"/>
      <c r="C117" s="1031">
        <v>2014</v>
      </c>
      <c r="D117" s="996"/>
      <c r="E117" s="674"/>
      <c r="F117" s="1032">
        <v>2013</v>
      </c>
      <c r="G117" s="996"/>
      <c r="H117" s="704"/>
    </row>
    <row r="118" spans="2:10" ht="13">
      <c r="B118" s="705" t="s">
        <v>833</v>
      </c>
      <c r="C118" s="669" t="s">
        <v>296</v>
      </c>
      <c r="D118" s="678">
        <v>2568</v>
      </c>
      <c r="E118" s="674"/>
      <c r="F118" s="706" t="s">
        <v>296</v>
      </c>
      <c r="G118" s="707">
        <v>2809</v>
      </c>
      <c r="H118" s="704"/>
    </row>
    <row r="119" spans="2:10" ht="13">
      <c r="B119" s="705" t="s">
        <v>834</v>
      </c>
      <c r="C119" s="1031">
        <v>514</v>
      </c>
      <c r="D119" s="996"/>
      <c r="E119" s="674"/>
      <c r="F119" s="1032">
        <v>527</v>
      </c>
      <c r="G119" s="996"/>
      <c r="H119" s="704"/>
    </row>
    <row r="120" spans="2:10" ht="13">
      <c r="B120" s="705" t="s">
        <v>838</v>
      </c>
      <c r="C120" s="1031">
        <v>252</v>
      </c>
      <c r="D120" s="996"/>
      <c r="E120" s="674"/>
      <c r="F120" s="1032">
        <v>167</v>
      </c>
      <c r="G120" s="996"/>
      <c r="H120" s="704"/>
    </row>
    <row r="121" spans="2:10" ht="13">
      <c r="B121" s="705" t="s">
        <v>839</v>
      </c>
      <c r="C121" s="1031">
        <v>92</v>
      </c>
      <c r="D121" s="996"/>
      <c r="E121" s="674"/>
      <c r="F121" s="1032">
        <v>99</v>
      </c>
      <c r="G121" s="996"/>
      <c r="H121" s="704"/>
    </row>
    <row r="122" spans="2:10" ht="13">
      <c r="B122" s="705" t="s">
        <v>836</v>
      </c>
      <c r="C122" s="1031">
        <v>10</v>
      </c>
      <c r="D122" s="996"/>
      <c r="E122" s="674"/>
      <c r="F122" s="1032">
        <v>7</v>
      </c>
      <c r="G122" s="996"/>
      <c r="H122" s="704"/>
    </row>
    <row r="123" spans="2:10" ht="13">
      <c r="B123" s="708"/>
      <c r="C123" s="669" t="s">
        <v>296</v>
      </c>
      <c r="D123" s="678">
        <v>3436</v>
      </c>
      <c r="E123" s="674"/>
      <c r="F123" s="706" t="s">
        <v>296</v>
      </c>
      <c r="G123" s="707">
        <v>3609</v>
      </c>
      <c r="H123" s="110"/>
    </row>
    <row r="124" spans="2:10" ht="12.5">
      <c r="B124" s="622" t="s">
        <v>254</v>
      </c>
      <c r="C124" s="114"/>
      <c r="D124" s="663">
        <f>1-(D118/D123)</f>
        <v>0.25261932479627469</v>
      </c>
      <c r="E124" s="114"/>
      <c r="F124" s="114"/>
      <c r="G124" s="114"/>
      <c r="H124" s="115"/>
    </row>
    <row r="127" spans="2:10" ht="12.5">
      <c r="B127" s="139"/>
      <c r="C127" s="107"/>
      <c r="D127" s="107"/>
      <c r="E127" s="107"/>
      <c r="F127" s="107"/>
      <c r="G127" s="107"/>
      <c r="H127" s="107"/>
      <c r="I127" s="107"/>
      <c r="J127" s="108"/>
    </row>
    <row r="128" spans="2:10" ht="18">
      <c r="B128" s="518">
        <v>2015</v>
      </c>
      <c r="C128" s="4" t="s">
        <v>898</v>
      </c>
      <c r="J128" s="110"/>
    </row>
    <row r="129" spans="1:10" ht="12.5">
      <c r="B129" s="109"/>
      <c r="C129" s="4" t="s">
        <v>899</v>
      </c>
      <c r="J129" s="110"/>
    </row>
    <row r="130" spans="1:10" ht="12.5">
      <c r="B130" s="109"/>
      <c r="C130" s="4" t="s">
        <v>900</v>
      </c>
      <c r="J130" s="110"/>
    </row>
    <row r="131" spans="1:10" ht="12.5">
      <c r="B131" s="109"/>
      <c r="C131" s="4" t="s">
        <v>901</v>
      </c>
      <c r="D131" s="4"/>
      <c r="E131" s="4"/>
      <c r="F131" s="4"/>
      <c r="J131" s="110"/>
    </row>
    <row r="132" spans="1:10" ht="12.5">
      <c r="B132" s="109"/>
      <c r="C132" s="4">
        <v>2015</v>
      </c>
      <c r="D132" s="4">
        <v>2014</v>
      </c>
      <c r="E132" s="4">
        <v>2013</v>
      </c>
      <c r="F132" s="4">
        <v>2012</v>
      </c>
      <c r="G132" s="4">
        <v>2011</v>
      </c>
      <c r="H132" s="4">
        <v>2010</v>
      </c>
      <c r="J132" s="110"/>
    </row>
    <row r="133" spans="1:10" ht="12.5">
      <c r="B133" s="71" t="s">
        <v>274</v>
      </c>
      <c r="C133" s="4">
        <v>2326986</v>
      </c>
      <c r="D133" s="4">
        <v>2242789</v>
      </c>
      <c r="E133" s="4">
        <v>2121186</v>
      </c>
      <c r="F133" s="4">
        <v>1931045</v>
      </c>
      <c r="G133" s="4">
        <v>1708048</v>
      </c>
      <c r="H133" s="4">
        <v>1463842</v>
      </c>
      <c r="J133" s="110"/>
    </row>
    <row r="134" spans="1:10" ht="12.5">
      <c r="A134" s="20" t="s">
        <v>902</v>
      </c>
      <c r="B134" s="71" t="s">
        <v>171</v>
      </c>
      <c r="C134" s="4">
        <v>57174103</v>
      </c>
      <c r="D134" s="4">
        <v>55105380</v>
      </c>
      <c r="E134" s="4">
        <v>52117592</v>
      </c>
      <c r="F134" s="4">
        <v>47445823</v>
      </c>
      <c r="G134" s="4">
        <v>41966781</v>
      </c>
      <c r="H134" s="4">
        <v>35966633</v>
      </c>
      <c r="J134" s="110"/>
    </row>
    <row r="135" spans="1:10" ht="12.5">
      <c r="B135" s="71" t="s">
        <v>280</v>
      </c>
      <c r="C135" s="4">
        <v>32097</v>
      </c>
      <c r="D135" s="4">
        <v>34058</v>
      </c>
      <c r="E135" s="4">
        <v>38757</v>
      </c>
      <c r="F135" s="4">
        <v>35176</v>
      </c>
      <c r="G135" s="4">
        <v>29401</v>
      </c>
      <c r="H135" s="4">
        <v>26672</v>
      </c>
      <c r="J135" s="110"/>
    </row>
    <row r="136" spans="1:10" ht="12.5">
      <c r="A136" s="20" t="s">
        <v>903</v>
      </c>
      <c r="B136" s="622" t="s">
        <v>171</v>
      </c>
      <c r="C136" s="122">
        <v>876967</v>
      </c>
      <c r="D136" s="122">
        <v>930546</v>
      </c>
      <c r="E136" s="122">
        <v>1058934</v>
      </c>
      <c r="F136" s="122">
        <v>961092</v>
      </c>
      <c r="G136" s="122">
        <v>803306</v>
      </c>
      <c r="H136" s="122">
        <v>728743</v>
      </c>
      <c r="J136" s="110"/>
    </row>
    <row r="137" spans="1:10" ht="12.5">
      <c r="B137" s="71" t="s">
        <v>819</v>
      </c>
      <c r="C137" s="34">
        <f t="shared" ref="C137:H137" si="2">C136+C134</f>
        <v>58051070</v>
      </c>
      <c r="D137">
        <f t="shared" si="2"/>
        <v>56035926</v>
      </c>
      <c r="E137">
        <f t="shared" si="2"/>
        <v>53176526</v>
      </c>
      <c r="F137">
        <f t="shared" si="2"/>
        <v>48406915</v>
      </c>
      <c r="G137">
        <f t="shared" si="2"/>
        <v>42770087</v>
      </c>
      <c r="H137">
        <f t="shared" si="2"/>
        <v>36695376</v>
      </c>
      <c r="J137" s="110"/>
    </row>
    <row r="138" spans="1:10" ht="12.5">
      <c r="B138" s="71" t="s">
        <v>823</v>
      </c>
      <c r="C138" s="14">
        <v>2.7069999999999999</v>
      </c>
      <c r="D138" s="14">
        <v>3.8250000000000002</v>
      </c>
      <c r="E138" s="14">
        <v>3.9220000000000002</v>
      </c>
      <c r="F138" s="14">
        <v>3.968</v>
      </c>
      <c r="G138" s="14">
        <v>3.84</v>
      </c>
      <c r="H138" s="14">
        <v>2.992</v>
      </c>
      <c r="J138" s="110"/>
    </row>
    <row r="139" spans="1:10" ht="12.5">
      <c r="B139" s="71" t="s">
        <v>827</v>
      </c>
      <c r="C139" s="33">
        <v>2.4500000000000002</v>
      </c>
      <c r="D139" s="624">
        <v>3.37</v>
      </c>
      <c r="E139" s="624">
        <v>3.53</v>
      </c>
      <c r="F139" s="624">
        <v>3.64</v>
      </c>
      <c r="G139" s="624">
        <v>3.53</v>
      </c>
      <c r="H139" s="624">
        <v>2.79</v>
      </c>
      <c r="J139" s="110"/>
    </row>
    <row r="140" spans="1:10" ht="12.5">
      <c r="B140" s="71" t="s">
        <v>830</v>
      </c>
      <c r="C140" s="34">
        <f t="shared" ref="C140:H140" si="3">(C134*C138)+(C136*C139)</f>
        <v>156918865.97099999</v>
      </c>
      <c r="D140">
        <f t="shared" si="3"/>
        <v>213914018.52000001</v>
      </c>
      <c r="E140">
        <f t="shared" si="3"/>
        <v>208143232.84400001</v>
      </c>
      <c r="F140">
        <f t="shared" si="3"/>
        <v>191763400.544</v>
      </c>
      <c r="G140">
        <f t="shared" si="3"/>
        <v>163988109.22</v>
      </c>
      <c r="H140">
        <f t="shared" si="3"/>
        <v>109645358.906</v>
      </c>
      <c r="J140" s="110"/>
    </row>
    <row r="141" spans="1:10" ht="12.5">
      <c r="B141" s="109"/>
      <c r="J141" s="110"/>
    </row>
    <row r="142" spans="1:10" ht="13">
      <c r="B142" s="109"/>
      <c r="C142" s="665" t="s">
        <v>907</v>
      </c>
      <c r="J142" s="110"/>
    </row>
    <row r="143" spans="1:10" ht="12.5">
      <c r="B143" s="109"/>
      <c r="C143" s="359" t="s">
        <v>909</v>
      </c>
      <c r="J143" s="110"/>
    </row>
    <row r="144" spans="1:10" ht="13">
      <c r="B144" s="109"/>
      <c r="C144" s="667" t="s">
        <v>910</v>
      </c>
      <c r="D144" s="698" t="s">
        <v>79</v>
      </c>
      <c r="E144" s="669" t="s">
        <v>692</v>
      </c>
      <c r="J144" s="110"/>
    </row>
    <row r="145" spans="2:10" ht="12.5">
      <c r="B145" s="109"/>
      <c r="J145" s="110"/>
    </row>
    <row r="146" spans="2:10" ht="13">
      <c r="B146" s="109"/>
      <c r="C146" s="717" t="s">
        <v>911</v>
      </c>
      <c r="J146" s="110"/>
    </row>
    <row r="147" spans="2:10" ht="18.75" customHeight="1">
      <c r="B147" s="109"/>
      <c r="C147" s="1042" t="s">
        <v>912</v>
      </c>
      <c r="D147" s="996"/>
      <c r="E147" s="996"/>
      <c r="F147" s="996"/>
      <c r="G147" s="996"/>
      <c r="H147" s="996"/>
      <c r="I147" s="718"/>
      <c r="J147" s="720"/>
    </row>
    <row r="148" spans="2:10" ht="13">
      <c r="B148" s="109"/>
      <c r="C148" s="996"/>
      <c r="D148" s="996"/>
      <c r="E148" s="996"/>
      <c r="F148" s="996"/>
      <c r="G148" s="996"/>
      <c r="H148" s="996"/>
      <c r="I148" s="718"/>
      <c r="J148" s="720"/>
    </row>
    <row r="149" spans="2:10" ht="13">
      <c r="B149" s="109"/>
      <c r="C149" s="718"/>
      <c r="D149" s="718"/>
      <c r="E149" s="718"/>
      <c r="F149" s="718"/>
      <c r="G149" s="718"/>
      <c r="H149" s="718"/>
      <c r="I149" s="718"/>
      <c r="J149" s="720"/>
    </row>
    <row r="150" spans="2:10" ht="12.5">
      <c r="B150" s="109"/>
      <c r="J150" s="110"/>
    </row>
    <row r="151" spans="2:10" ht="13">
      <c r="B151" s="109"/>
      <c r="C151" s="722" t="s">
        <v>833</v>
      </c>
      <c r="D151" s="669" t="s">
        <v>296</v>
      </c>
      <c r="E151" s="678">
        <v>3502</v>
      </c>
      <c r="F151" s="674"/>
      <c r="G151" s="706" t="s">
        <v>296</v>
      </c>
      <c r="H151" s="707">
        <v>2568</v>
      </c>
      <c r="I151" s="724"/>
      <c r="J151" s="110"/>
    </row>
    <row r="152" spans="2:10" ht="13">
      <c r="B152" s="109"/>
      <c r="C152" s="722" t="s">
        <v>834</v>
      </c>
      <c r="D152" s="1031">
        <v>541</v>
      </c>
      <c r="E152" s="996"/>
      <c r="F152" s="674"/>
      <c r="G152" s="1032">
        <v>514</v>
      </c>
      <c r="H152" s="996"/>
      <c r="I152" s="724"/>
      <c r="J152" s="110"/>
    </row>
    <row r="153" spans="2:10" ht="13">
      <c r="B153" s="109"/>
      <c r="C153" s="722" t="s">
        <v>838</v>
      </c>
      <c r="D153" s="1031">
        <v>230</v>
      </c>
      <c r="E153" s="996"/>
      <c r="F153" s="674"/>
      <c r="G153" s="1032">
        <v>252</v>
      </c>
      <c r="H153" s="996"/>
      <c r="I153" s="724"/>
      <c r="J153" s="110"/>
    </row>
    <row r="154" spans="2:10" ht="13">
      <c r="B154" s="109"/>
      <c r="C154" s="722" t="s">
        <v>839</v>
      </c>
      <c r="D154" s="1031">
        <v>100</v>
      </c>
      <c r="E154" s="996"/>
      <c r="F154" s="674"/>
      <c r="G154" s="1032">
        <v>92</v>
      </c>
      <c r="H154" s="996"/>
      <c r="I154" s="724"/>
      <c r="J154" s="110"/>
    </row>
    <row r="155" spans="2:10" ht="13">
      <c r="B155" s="109"/>
      <c r="C155" s="722" t="s">
        <v>836</v>
      </c>
      <c r="D155" s="1031">
        <v>2</v>
      </c>
      <c r="E155" s="996"/>
      <c r="F155" s="674"/>
      <c r="G155" s="1032">
        <v>10</v>
      </c>
      <c r="H155" s="996"/>
      <c r="I155" s="724"/>
      <c r="J155" s="110"/>
    </row>
    <row r="156" spans="2:10" ht="13">
      <c r="B156" s="109"/>
      <c r="C156" s="729"/>
      <c r="D156" s="669" t="s">
        <v>296</v>
      </c>
      <c r="E156" s="678">
        <v>4375</v>
      </c>
      <c r="F156" s="674"/>
      <c r="G156" s="706" t="s">
        <v>296</v>
      </c>
      <c r="H156" s="707">
        <v>3436</v>
      </c>
      <c r="I156" s="724"/>
      <c r="J156" s="110"/>
    </row>
    <row r="157" spans="2:10" ht="12.5">
      <c r="B157" s="113"/>
      <c r="C157" s="731"/>
      <c r="D157" s="114"/>
      <c r="E157" s="663">
        <f>1-(E151/E156)</f>
        <v>0.19954285714285713</v>
      </c>
      <c r="F157" s="114"/>
      <c r="G157" s="114"/>
      <c r="H157" s="114"/>
      <c r="I157" s="114"/>
      <c r="J157" s="115"/>
    </row>
    <row r="158" spans="2:10" ht="12.5">
      <c r="B158" s="1043" t="s">
        <v>915</v>
      </c>
      <c r="C158" s="1000"/>
      <c r="D158" s="1000"/>
      <c r="E158" s="1000"/>
      <c r="F158" s="1000"/>
      <c r="G158" s="1000"/>
      <c r="H158" s="1000"/>
      <c r="I158" s="1000"/>
      <c r="J158" s="108"/>
    </row>
    <row r="159" spans="2:10" ht="12.5">
      <c r="B159" s="1013"/>
      <c r="C159" s="996"/>
      <c r="D159" s="996"/>
      <c r="E159" s="996"/>
      <c r="F159" s="996"/>
      <c r="G159" s="996"/>
      <c r="H159" s="996"/>
      <c r="I159" s="996"/>
      <c r="J159" s="110"/>
    </row>
    <row r="160" spans="2:10" ht="12.5">
      <c r="B160" s="1013"/>
      <c r="C160" s="996"/>
      <c r="D160" s="996"/>
      <c r="E160" s="996"/>
      <c r="F160" s="996"/>
      <c r="G160" s="996"/>
      <c r="H160" s="996"/>
      <c r="I160" s="996"/>
      <c r="J160" s="110"/>
    </row>
    <row r="161" spans="2:10" ht="12.5">
      <c r="B161" s="1013"/>
      <c r="C161" s="996"/>
      <c r="D161" s="996"/>
      <c r="E161" s="996"/>
      <c r="F161" s="996"/>
      <c r="G161" s="996"/>
      <c r="H161" s="996"/>
      <c r="I161" s="996"/>
      <c r="J161" s="110"/>
    </row>
    <row r="162" spans="2:10" ht="12.5">
      <c r="B162" s="1013"/>
      <c r="C162" s="996"/>
      <c r="D162" s="996"/>
      <c r="E162" s="996"/>
      <c r="F162" s="996"/>
      <c r="G162" s="996"/>
      <c r="H162" s="996"/>
      <c r="I162" s="996"/>
      <c r="J162" s="110"/>
    </row>
    <row r="163" spans="2:10" ht="12.5">
      <c r="B163" s="109"/>
      <c r="C163" s="736" t="s">
        <v>918</v>
      </c>
      <c r="D163" s="54"/>
      <c r="E163" s="34"/>
      <c r="J163" s="110"/>
    </row>
    <row r="164" spans="2:10" ht="12.5">
      <c r="B164" s="113"/>
      <c r="C164" s="114"/>
      <c r="D164" s="114"/>
      <c r="E164" s="114"/>
      <c r="F164" s="114"/>
      <c r="G164" s="114"/>
      <c r="H164" s="114"/>
      <c r="I164" s="114"/>
      <c r="J164" s="115"/>
    </row>
    <row r="167" spans="2:10" ht="13">
      <c r="B167" s="4">
        <v>2016</v>
      </c>
      <c r="D167" s="740" t="s">
        <v>919</v>
      </c>
    </row>
    <row r="168" spans="2:10" ht="12.5">
      <c r="B168" s="4">
        <v>1903726</v>
      </c>
      <c r="D168" s="359" t="s">
        <v>922</v>
      </c>
    </row>
    <row r="169" spans="2:10" ht="13">
      <c r="B169" s="4">
        <v>46774594</v>
      </c>
      <c r="D169" s="678">
        <v>2066</v>
      </c>
      <c r="E169" s="742" t="s">
        <v>164</v>
      </c>
      <c r="F169" s="669"/>
    </row>
    <row r="170" spans="2:10" ht="12.5">
      <c r="B170" s="4">
        <v>18205</v>
      </c>
    </row>
    <row r="171" spans="2:10" ht="12.5">
      <c r="B171" s="4">
        <v>497404</v>
      </c>
      <c r="D171" s="4" t="s">
        <v>923</v>
      </c>
    </row>
    <row r="172" spans="2:10" ht="12.5">
      <c r="B172" s="54">
        <f>B171+B169</f>
        <v>47271998</v>
      </c>
    </row>
    <row r="173" spans="2:10" ht="12.5">
      <c r="B173" s="14">
        <v>2.3039999999999998</v>
      </c>
      <c r="D173" s="744" t="s">
        <v>925</v>
      </c>
      <c r="E173" s="34"/>
      <c r="F173" s="34"/>
    </row>
    <row r="174" spans="2:10" ht="12.5">
      <c r="B174" s="29">
        <v>2.25</v>
      </c>
    </row>
    <row r="175" spans="2:10" ht="12.5">
      <c r="B175" s="34">
        <f>(B169*B173)+(B171*B174)</f>
        <v>108887823.57599999</v>
      </c>
    </row>
    <row r="177" spans="2:13" ht="15.75" customHeight="1">
      <c r="C177" s="996"/>
      <c r="D177" s="996"/>
      <c r="E177" s="996"/>
      <c r="F177" s="996"/>
      <c r="G177" s="996"/>
      <c r="H177" s="996"/>
      <c r="I177" s="996"/>
      <c r="J177" s="996"/>
      <c r="K177" s="996"/>
      <c r="L177" s="996"/>
      <c r="M177" s="996"/>
    </row>
    <row r="178" spans="2:13" ht="12.5">
      <c r="C178" s="699"/>
      <c r="D178" s="699"/>
      <c r="E178" s="699"/>
      <c r="F178" s="699"/>
      <c r="G178" s="699"/>
      <c r="H178" s="699"/>
      <c r="I178" s="699"/>
      <c r="J178" s="699"/>
      <c r="K178" s="699"/>
      <c r="L178" s="699"/>
      <c r="M178" s="699"/>
    </row>
    <row r="179" spans="2:13" ht="13">
      <c r="C179" s="724"/>
      <c r="D179" s="1045">
        <v>2016</v>
      </c>
      <c r="E179" s="996"/>
      <c r="F179" s="996"/>
      <c r="G179" s="996"/>
      <c r="H179" s="996"/>
      <c r="I179" s="1044">
        <v>2015</v>
      </c>
      <c r="J179" s="996"/>
      <c r="K179" s="996"/>
      <c r="L179" s="996"/>
      <c r="M179" s="996"/>
    </row>
    <row r="180" spans="2:13" ht="13">
      <c r="C180" s="706" t="s">
        <v>833</v>
      </c>
      <c r="D180" s="669" t="s">
        <v>296</v>
      </c>
      <c r="E180" s="678">
        <v>2861</v>
      </c>
      <c r="F180" s="674"/>
      <c r="G180" s="667">
        <v>81</v>
      </c>
      <c r="H180" s="669" t="s">
        <v>523</v>
      </c>
      <c r="I180" s="706" t="s">
        <v>296</v>
      </c>
      <c r="J180" s="707">
        <v>3502</v>
      </c>
      <c r="K180" s="724"/>
      <c r="L180" s="703">
        <v>80</v>
      </c>
      <c r="M180" s="706" t="s">
        <v>523</v>
      </c>
    </row>
    <row r="181" spans="2:13" ht="13">
      <c r="C181" s="706" t="s">
        <v>834</v>
      </c>
      <c r="D181" s="1031">
        <v>384</v>
      </c>
      <c r="E181" s="996"/>
      <c r="F181" s="674"/>
      <c r="G181" s="667">
        <v>11</v>
      </c>
      <c r="H181" s="669" t="s">
        <v>523</v>
      </c>
      <c r="I181" s="1032">
        <v>541</v>
      </c>
      <c r="J181" s="996"/>
      <c r="K181" s="724"/>
      <c r="L181" s="703">
        <v>13</v>
      </c>
      <c r="M181" s="706" t="s">
        <v>523</v>
      </c>
    </row>
    <row r="182" spans="2:13" ht="13">
      <c r="C182" s="706" t="s">
        <v>838</v>
      </c>
      <c r="D182" s="1031">
        <v>200</v>
      </c>
      <c r="E182" s="996"/>
      <c r="F182" s="674"/>
      <c r="G182" s="667">
        <v>6</v>
      </c>
      <c r="H182" s="669" t="s">
        <v>523</v>
      </c>
      <c r="I182" s="1032">
        <v>230</v>
      </c>
      <c r="J182" s="996"/>
      <c r="K182" s="724"/>
      <c r="L182" s="703">
        <v>5</v>
      </c>
      <c r="M182" s="706" t="s">
        <v>523</v>
      </c>
    </row>
    <row r="183" spans="2:13" ht="13">
      <c r="C183" s="706" t="s">
        <v>839</v>
      </c>
      <c r="D183" s="1031">
        <v>62</v>
      </c>
      <c r="E183" s="996"/>
      <c r="F183" s="674"/>
      <c r="G183" s="667">
        <v>2</v>
      </c>
      <c r="H183" s="669" t="s">
        <v>523</v>
      </c>
      <c r="I183" s="1032">
        <v>100</v>
      </c>
      <c r="J183" s="996"/>
      <c r="K183" s="724"/>
      <c r="L183" s="703">
        <v>2</v>
      </c>
      <c r="M183" s="706" t="s">
        <v>523</v>
      </c>
    </row>
    <row r="184" spans="2:13" ht="13">
      <c r="C184" s="706" t="s">
        <v>836</v>
      </c>
      <c r="D184" s="1031">
        <v>3</v>
      </c>
      <c r="E184" s="996"/>
      <c r="F184" s="674"/>
      <c r="G184" s="667" t="s">
        <v>933</v>
      </c>
      <c r="H184" s="669" t="s">
        <v>523</v>
      </c>
      <c r="I184" s="1032">
        <v>2</v>
      </c>
      <c r="J184" s="996"/>
      <c r="K184" s="724"/>
      <c r="L184" s="703" t="s">
        <v>933</v>
      </c>
      <c r="M184" s="706" t="s">
        <v>523</v>
      </c>
    </row>
    <row r="185" spans="2:13" ht="13">
      <c r="C185" s="729"/>
      <c r="D185" s="669" t="s">
        <v>296</v>
      </c>
      <c r="E185" s="678">
        <v>3510</v>
      </c>
      <c r="F185" s="674"/>
      <c r="G185" s="667">
        <v>100</v>
      </c>
      <c r="H185" s="669" t="s">
        <v>523</v>
      </c>
      <c r="I185" s="706" t="s">
        <v>296</v>
      </c>
      <c r="J185" s="707">
        <v>4375</v>
      </c>
      <c r="K185" s="724"/>
      <c r="L185" s="703">
        <v>100</v>
      </c>
      <c r="M185" s="706" t="s">
        <v>523</v>
      </c>
    </row>
    <row r="186" spans="2:13" ht="12.5">
      <c r="C186" s="4" t="s">
        <v>935</v>
      </c>
      <c r="E186">
        <f>1-(E180/E185)</f>
        <v>0.18490028490028487</v>
      </c>
    </row>
    <row r="189" spans="2:13" ht="12.5">
      <c r="B189" s="4">
        <v>2017</v>
      </c>
      <c r="C189" s="4" t="s">
        <v>936</v>
      </c>
      <c r="E189" s="20" t="s">
        <v>419</v>
      </c>
    </row>
    <row r="190" spans="2:13" ht="12.5">
      <c r="C190" s="4">
        <v>2015</v>
      </c>
      <c r="D190" s="4">
        <v>2016</v>
      </c>
      <c r="E190" s="4">
        <v>2017</v>
      </c>
    </row>
    <row r="191" spans="2:13" ht="12.5">
      <c r="B191" s="4" t="s">
        <v>274</v>
      </c>
      <c r="C191" s="4">
        <v>1900495</v>
      </c>
      <c r="D191" s="4">
        <v>1903726</v>
      </c>
      <c r="E191" s="4">
        <v>1818177</v>
      </c>
    </row>
    <row r="192" spans="2:13" ht="12.5">
      <c r="B192" s="4" t="s">
        <v>171</v>
      </c>
      <c r="D192" s="4">
        <v>46774594</v>
      </c>
      <c r="E192" s="4">
        <v>44672653</v>
      </c>
    </row>
    <row r="193" spans="2:18" ht="12.5">
      <c r="B193" s="4" t="s">
        <v>280</v>
      </c>
      <c r="D193" s="4">
        <v>18205</v>
      </c>
      <c r="E193" s="4">
        <v>18578</v>
      </c>
    </row>
    <row r="194" spans="2:18" ht="12.5">
      <c r="B194" s="4" t="s">
        <v>171</v>
      </c>
      <c r="D194" s="4">
        <v>497404</v>
      </c>
      <c r="E194" s="4">
        <v>507595</v>
      </c>
    </row>
    <row r="195" spans="2:18" ht="12.5">
      <c r="B195" s="4" t="s">
        <v>819</v>
      </c>
      <c r="D195" s="54">
        <f t="shared" ref="D195:E195" si="4">D194+D192</f>
        <v>47271998</v>
      </c>
      <c r="E195" s="54">
        <f t="shared" si="4"/>
        <v>45180248</v>
      </c>
    </row>
    <row r="196" spans="2:18" ht="12.5">
      <c r="B196" s="4" t="s">
        <v>823</v>
      </c>
      <c r="D196" s="14">
        <v>2.3039999999999998</v>
      </c>
      <c r="E196" s="14">
        <v>2.65</v>
      </c>
    </row>
    <row r="197" spans="2:18" ht="12.5">
      <c r="B197" s="4" t="s">
        <v>827</v>
      </c>
      <c r="D197" s="29">
        <v>2.25</v>
      </c>
      <c r="E197" s="33">
        <v>2.528</v>
      </c>
    </row>
    <row r="198" spans="2:18" ht="12.5">
      <c r="B198" s="4" t="s">
        <v>164</v>
      </c>
      <c r="D198" s="34">
        <f t="shared" ref="D198:E198" si="5">(D192*D196)+(D194*D197)</f>
        <v>108887823.57599999</v>
      </c>
      <c r="E198" s="34">
        <f t="shared" si="5"/>
        <v>119665730.61</v>
      </c>
    </row>
    <row r="201" spans="2:18" ht="14">
      <c r="B201" s="749" t="s">
        <v>942</v>
      </c>
    </row>
    <row r="202" spans="2:18" ht="12.5">
      <c r="B202" s="167" t="s">
        <v>944</v>
      </c>
      <c r="E202" s="4" t="s">
        <v>945</v>
      </c>
    </row>
    <row r="203" spans="2:18" ht="13">
      <c r="B203" s="244">
        <v>1889</v>
      </c>
      <c r="C203" s="193" t="s">
        <v>741</v>
      </c>
      <c r="E203" s="4" t="s">
        <v>946</v>
      </c>
    </row>
    <row r="204" spans="2:18" ht="12.5">
      <c r="E204" s="4" t="s">
        <v>947</v>
      </c>
    </row>
    <row r="206" spans="2:18" ht="13">
      <c r="B206" s="750" t="s">
        <v>833</v>
      </c>
      <c r="C206" s="406"/>
      <c r="D206" s="751" t="s">
        <v>296</v>
      </c>
      <c r="E206" s="752">
        <v>2527</v>
      </c>
      <c r="F206" s="406"/>
      <c r="G206" s="406"/>
      <c r="H206" s="406"/>
      <c r="I206" s="244">
        <v>74</v>
      </c>
      <c r="J206" s="751" t="s">
        <v>523</v>
      </c>
      <c r="K206" s="406"/>
      <c r="L206" s="750" t="s">
        <v>296</v>
      </c>
      <c r="M206" s="179">
        <v>2861</v>
      </c>
      <c r="N206" s="406"/>
      <c r="O206" s="406"/>
      <c r="P206" s="406"/>
      <c r="Q206" s="551">
        <v>81</v>
      </c>
      <c r="R206" s="750" t="s">
        <v>523</v>
      </c>
    </row>
    <row r="207" spans="2:18" ht="12.5">
      <c r="B207" s="755"/>
      <c r="C207" s="996"/>
      <c r="D207" s="996"/>
      <c r="E207" s="996"/>
      <c r="F207" s="996"/>
      <c r="G207" s="996"/>
      <c r="H207" s="996"/>
      <c r="I207" s="996"/>
      <c r="J207" s="996"/>
      <c r="K207" s="996"/>
      <c r="L207" s="996"/>
      <c r="M207" s="996"/>
      <c r="N207" s="996"/>
      <c r="O207" s="996"/>
      <c r="P207" s="996"/>
      <c r="Q207" s="996"/>
      <c r="R207" s="996"/>
    </row>
    <row r="208" spans="2:18" ht="13">
      <c r="B208" s="757" t="s">
        <v>834</v>
      </c>
      <c r="C208" s="633"/>
      <c r="D208" s="633"/>
      <c r="E208" s="196">
        <v>364</v>
      </c>
      <c r="F208" s="633"/>
      <c r="G208" s="633"/>
      <c r="H208" s="633"/>
      <c r="I208" s="196">
        <v>11</v>
      </c>
      <c r="J208" s="759" t="s">
        <v>523</v>
      </c>
      <c r="K208" s="633"/>
      <c r="L208" s="633"/>
      <c r="M208" s="760">
        <v>384</v>
      </c>
      <c r="N208" s="633"/>
      <c r="O208" s="633"/>
      <c r="P208" s="633"/>
      <c r="Q208" s="760">
        <v>11</v>
      </c>
      <c r="R208" s="757" t="s">
        <v>523</v>
      </c>
    </row>
    <row r="209" spans="2:18" ht="12.5">
      <c r="B209" s="755"/>
      <c r="C209" s="996"/>
      <c r="D209" s="996"/>
      <c r="E209" s="996"/>
      <c r="F209" s="996"/>
      <c r="G209" s="996"/>
      <c r="H209" s="996"/>
      <c r="I209" s="996"/>
      <c r="J209" s="996"/>
      <c r="K209" s="996"/>
      <c r="L209" s="996"/>
      <c r="M209" s="996"/>
      <c r="N209" s="996"/>
      <c r="O209" s="996"/>
      <c r="P209" s="996"/>
      <c r="Q209" s="996"/>
      <c r="R209" s="996"/>
    </row>
    <row r="210" spans="2:18" ht="13">
      <c r="B210" s="750" t="s">
        <v>838</v>
      </c>
      <c r="C210" s="406"/>
      <c r="D210" s="406"/>
      <c r="E210" s="244">
        <v>425</v>
      </c>
      <c r="F210" s="406"/>
      <c r="G210" s="406"/>
      <c r="H210" s="406"/>
      <c r="I210" s="244">
        <v>12</v>
      </c>
      <c r="J210" s="751" t="s">
        <v>523</v>
      </c>
      <c r="K210" s="406"/>
      <c r="L210" s="406"/>
      <c r="M210" s="551">
        <v>200</v>
      </c>
      <c r="N210" s="406"/>
      <c r="O210" s="406"/>
      <c r="P210" s="406"/>
      <c r="Q210" s="551">
        <v>6</v>
      </c>
      <c r="R210" s="750" t="s">
        <v>523</v>
      </c>
    </row>
    <row r="211" spans="2:18" ht="12.5">
      <c r="B211" s="755"/>
      <c r="C211" s="996"/>
      <c r="D211" s="996"/>
      <c r="E211" s="996"/>
      <c r="F211" s="996"/>
      <c r="G211" s="996"/>
      <c r="H211" s="996"/>
      <c r="I211" s="996"/>
      <c r="J211" s="996"/>
      <c r="K211" s="996"/>
      <c r="L211" s="996"/>
      <c r="M211" s="996"/>
      <c r="N211" s="996"/>
      <c r="O211" s="996"/>
      <c r="P211" s="996"/>
      <c r="Q211" s="996"/>
      <c r="R211" s="996"/>
    </row>
    <row r="212" spans="2:18" ht="13">
      <c r="B212" s="757" t="s">
        <v>839</v>
      </c>
      <c r="C212" s="633"/>
      <c r="D212" s="633"/>
      <c r="E212" s="196">
        <v>98</v>
      </c>
      <c r="F212" s="633"/>
      <c r="G212" s="633"/>
      <c r="H212" s="633"/>
      <c r="I212" s="196">
        <v>3</v>
      </c>
      <c r="J212" s="759" t="s">
        <v>523</v>
      </c>
      <c r="K212" s="633"/>
      <c r="L212" s="633"/>
      <c r="M212" s="760">
        <v>62</v>
      </c>
      <c r="N212" s="633"/>
      <c r="O212" s="633"/>
      <c r="P212" s="633"/>
      <c r="Q212" s="760">
        <v>2</v>
      </c>
      <c r="R212" s="757" t="s">
        <v>523</v>
      </c>
    </row>
    <row r="213" spans="2:18" ht="12.5">
      <c r="B213" s="755"/>
      <c r="C213" s="996"/>
      <c r="D213" s="996"/>
      <c r="E213" s="996"/>
      <c r="F213" s="996"/>
      <c r="G213" s="996"/>
      <c r="H213" s="996"/>
      <c r="I213" s="996"/>
      <c r="J213" s="996"/>
      <c r="K213" s="996"/>
      <c r="L213" s="996"/>
      <c r="M213" s="996"/>
      <c r="N213" s="996"/>
      <c r="O213" s="996"/>
      <c r="P213" s="996"/>
      <c r="Q213" s="996"/>
      <c r="R213" s="996"/>
    </row>
    <row r="214" spans="2:18" ht="13">
      <c r="B214" s="762" t="s">
        <v>836</v>
      </c>
      <c r="C214" s="406"/>
      <c r="D214" s="406"/>
      <c r="E214" s="551">
        <v>9</v>
      </c>
      <c r="F214" s="406"/>
      <c r="G214" s="406"/>
      <c r="H214" s="406"/>
      <c r="I214" s="551" t="s">
        <v>933</v>
      </c>
      <c r="J214" s="750" t="s">
        <v>523</v>
      </c>
      <c r="K214" s="406"/>
      <c r="L214" s="406"/>
      <c r="M214" s="551">
        <v>3</v>
      </c>
      <c r="N214" s="406"/>
      <c r="O214" s="406"/>
      <c r="P214" s="406"/>
      <c r="Q214" s="551" t="s">
        <v>933</v>
      </c>
      <c r="R214" s="750" t="s">
        <v>523</v>
      </c>
    </row>
    <row r="215" spans="2:18" ht="13">
      <c r="B215" s="552"/>
      <c r="C215" s="633"/>
      <c r="D215" s="759" t="s">
        <v>296</v>
      </c>
      <c r="E215" s="188">
        <v>3423</v>
      </c>
      <c r="F215" s="633"/>
      <c r="G215" s="633"/>
      <c r="H215" s="633"/>
      <c r="I215" s="196">
        <v>100</v>
      </c>
      <c r="J215" s="759" t="s">
        <v>523</v>
      </c>
      <c r="K215" s="633"/>
      <c r="L215" s="757" t="s">
        <v>296</v>
      </c>
      <c r="M215" s="510">
        <v>3510</v>
      </c>
      <c r="N215" s="633"/>
      <c r="O215" s="633"/>
      <c r="P215" s="633"/>
      <c r="Q215" s="760">
        <v>100</v>
      </c>
      <c r="R215" s="757" t="s">
        <v>523</v>
      </c>
    </row>
    <row r="216" spans="2:18" ht="12.5">
      <c r="B216" s="4" t="s">
        <v>254</v>
      </c>
      <c r="E216" s="490">
        <f>1-(E206/E215)</f>
        <v>0.26175869120654394</v>
      </c>
    </row>
  </sheetData>
  <mergeCells count="75">
    <mergeCell ref="G154:H154"/>
    <mergeCell ref="G152:H152"/>
    <mergeCell ref="G153:H153"/>
    <mergeCell ref="D152:E152"/>
    <mergeCell ref="D153:E153"/>
    <mergeCell ref="D154:E154"/>
    <mergeCell ref="I181:J181"/>
    <mergeCell ref="I182:J182"/>
    <mergeCell ref="G155:H155"/>
    <mergeCell ref="D155:E155"/>
    <mergeCell ref="D181:E181"/>
    <mergeCell ref="B158:I162"/>
    <mergeCell ref="I179:M179"/>
    <mergeCell ref="D179:H179"/>
    <mergeCell ref="C147:H148"/>
    <mergeCell ref="F120:G120"/>
    <mergeCell ref="F119:G119"/>
    <mergeCell ref="F117:G117"/>
    <mergeCell ref="C117:D117"/>
    <mergeCell ref="F122:G122"/>
    <mergeCell ref="C122:D122"/>
    <mergeCell ref="D50:E50"/>
    <mergeCell ref="H52:I52"/>
    <mergeCell ref="F97:G97"/>
    <mergeCell ref="C15:H16"/>
    <mergeCell ref="C4:G5"/>
    <mergeCell ref="C77:F77"/>
    <mergeCell ref="C75:F75"/>
    <mergeCell ref="G73:J73"/>
    <mergeCell ref="G77:J77"/>
    <mergeCell ref="G75:J75"/>
    <mergeCell ref="C81:F81"/>
    <mergeCell ref="C79:F79"/>
    <mergeCell ref="H83:I83"/>
    <mergeCell ref="D83:E83"/>
    <mergeCell ref="G79:J79"/>
    <mergeCell ref="G81:J81"/>
    <mergeCell ref="C2:G3"/>
    <mergeCell ref="C73:F73"/>
    <mergeCell ref="E91:F91"/>
    <mergeCell ref="C97:D97"/>
    <mergeCell ref="F121:G121"/>
    <mergeCell ref="C120:D120"/>
    <mergeCell ref="C119:D119"/>
    <mergeCell ref="C121:D121"/>
    <mergeCell ref="C102:D102"/>
    <mergeCell ref="F102:G102"/>
    <mergeCell ref="C101:D101"/>
    <mergeCell ref="F101:G101"/>
    <mergeCell ref="C99:D99"/>
    <mergeCell ref="F100:G100"/>
    <mergeCell ref="C100:D100"/>
    <mergeCell ref="F99:G99"/>
    <mergeCell ref="K213:N213"/>
    <mergeCell ref="O213:R213"/>
    <mergeCell ref="G213:J213"/>
    <mergeCell ref="C213:F213"/>
    <mergeCell ref="K209:N209"/>
    <mergeCell ref="O211:R211"/>
    <mergeCell ref="O207:R207"/>
    <mergeCell ref="O209:R209"/>
    <mergeCell ref="C211:F211"/>
    <mergeCell ref="C177:M177"/>
    <mergeCell ref="D184:E184"/>
    <mergeCell ref="D182:E182"/>
    <mergeCell ref="I183:J183"/>
    <mergeCell ref="I184:J184"/>
    <mergeCell ref="D183:E183"/>
    <mergeCell ref="C209:F209"/>
    <mergeCell ref="K207:N207"/>
    <mergeCell ref="G207:J207"/>
    <mergeCell ref="C207:F207"/>
    <mergeCell ref="G209:J209"/>
    <mergeCell ref="G211:J211"/>
    <mergeCell ref="K211:N211"/>
  </mergeCells>
  <hyperlinks>
    <hyperlink ref="H2" r:id="rId1"/>
    <hyperlink ref="A134" r:id="rId2"/>
    <hyperlink ref="A136" r:id="rId3"/>
    <hyperlink ref="E189" r:id="rId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15"/>
  <sheetViews>
    <sheetView workbookViewId="0"/>
  </sheetViews>
  <sheetFormatPr defaultColWidth="14.453125" defaultRowHeight="15.75" customHeight="1"/>
  <cols>
    <col min="5" max="5" width="16.26953125" customWidth="1"/>
  </cols>
  <sheetData>
    <row r="1" spans="1:10" ht="15.75" customHeight="1">
      <c r="A1" s="4" t="s">
        <v>820</v>
      </c>
    </row>
    <row r="2" spans="1:10" ht="15.75" customHeight="1">
      <c r="A2" s="1052" t="s">
        <v>821</v>
      </c>
      <c r="B2" s="996"/>
      <c r="C2" s="996"/>
      <c r="D2" s="996"/>
      <c r="E2" s="996"/>
      <c r="F2" s="996"/>
      <c r="G2" s="996"/>
      <c r="H2" s="996"/>
      <c r="I2" s="996"/>
      <c r="J2" s="996"/>
    </row>
    <row r="3" spans="1:10" ht="15.75" customHeight="1">
      <c r="A3" s="225" t="s">
        <v>824</v>
      </c>
    </row>
    <row r="5" spans="1:10" ht="15.75" customHeight="1">
      <c r="A5" s="4" t="s">
        <v>826</v>
      </c>
      <c r="B5" s="623">
        <v>2017</v>
      </c>
    </row>
    <row r="6" spans="1:10" ht="15.75" customHeight="1">
      <c r="A6" s="4"/>
      <c r="B6" s="4" t="s">
        <v>828</v>
      </c>
      <c r="C6" s="4" t="s">
        <v>171</v>
      </c>
      <c r="D6" s="4" t="s">
        <v>163</v>
      </c>
      <c r="E6" s="4" t="s">
        <v>164</v>
      </c>
    </row>
    <row r="7" spans="1:10" ht="15.75" customHeight="1">
      <c r="A7" s="4" t="s">
        <v>436</v>
      </c>
      <c r="B7" s="155">
        <v>334600</v>
      </c>
      <c r="C7" s="4">
        <v>88391968.700000003</v>
      </c>
      <c r="D7" s="14">
        <v>2.65</v>
      </c>
      <c r="E7" s="625">
        <f t="shared" ref="E7:E8" si="0">D7*C7</f>
        <v>234238717.05500001</v>
      </c>
    </row>
    <row r="8" spans="1:10" ht="15.75" customHeight="1">
      <c r="A8" s="122" t="s">
        <v>832</v>
      </c>
      <c r="B8" s="521">
        <v>14700</v>
      </c>
      <c r="C8" s="122">
        <v>3883329.2</v>
      </c>
      <c r="D8" s="627">
        <v>1.58</v>
      </c>
      <c r="E8" s="629">
        <f t="shared" si="0"/>
        <v>6135660.1360000009</v>
      </c>
    </row>
    <row r="9" spans="1:10" ht="15.75" customHeight="1">
      <c r="A9" s="4" t="s">
        <v>285</v>
      </c>
      <c r="C9">
        <f>C8+C7</f>
        <v>92275297.900000006</v>
      </c>
      <c r="E9" s="165">
        <f>E8+E7</f>
        <v>240374377.19100001</v>
      </c>
    </row>
    <row r="11" spans="1:10" ht="15.75" customHeight="1">
      <c r="B11" s="623">
        <v>2016</v>
      </c>
    </row>
    <row r="12" spans="1:10" ht="15.75" customHeight="1">
      <c r="A12" s="4" t="s">
        <v>436</v>
      </c>
      <c r="B12" s="155">
        <v>339400</v>
      </c>
      <c r="C12" s="4">
        <v>89659994.599999994</v>
      </c>
      <c r="D12" s="634">
        <v>2.3039999999999998</v>
      </c>
      <c r="E12" s="43">
        <f t="shared" ref="E12:E13" si="1">D12*C12</f>
        <v>206576627.55839998</v>
      </c>
    </row>
    <row r="13" spans="1:10" ht="15.75" customHeight="1">
      <c r="A13" s="122" t="s">
        <v>832</v>
      </c>
      <c r="B13" s="521">
        <v>4400</v>
      </c>
      <c r="C13" s="122">
        <v>1162357</v>
      </c>
      <c r="D13" s="122">
        <v>1.29</v>
      </c>
      <c r="E13" s="122">
        <f t="shared" si="1"/>
        <v>1499440.53</v>
      </c>
    </row>
    <row r="14" spans="1:10" ht="15.75" customHeight="1">
      <c r="A14" s="4" t="s">
        <v>835</v>
      </c>
      <c r="B14" s="637"/>
      <c r="C14">
        <f>C12+C13</f>
        <v>90822351.599999994</v>
      </c>
      <c r="E14" s="165">
        <f>E12+E13</f>
        <v>208076068.08839998</v>
      </c>
    </row>
    <row r="15" spans="1:10" ht="15.75" customHeight="1">
      <c r="B15" s="4"/>
    </row>
    <row r="16" spans="1:10" ht="15.75" customHeight="1">
      <c r="B16" s="623">
        <v>2015</v>
      </c>
    </row>
    <row r="17" spans="1:17" ht="15.75" customHeight="1">
      <c r="A17" s="4" t="s">
        <v>436</v>
      </c>
      <c r="B17" s="155">
        <v>257000</v>
      </c>
      <c r="C17" s="4">
        <v>67892217.5</v>
      </c>
      <c r="D17" s="95">
        <v>2.7069999999999999</v>
      </c>
      <c r="E17" s="183">
        <f t="shared" ref="E17:E18" si="2">D17*C17</f>
        <v>183784232.77249998</v>
      </c>
    </row>
    <row r="18" spans="1:17" ht="15.75" customHeight="1">
      <c r="A18" s="4" t="s">
        <v>832</v>
      </c>
      <c r="B18" s="155">
        <v>18000</v>
      </c>
      <c r="C18" s="4">
        <v>4755096.9000000004</v>
      </c>
      <c r="D18" s="95">
        <v>1.54</v>
      </c>
      <c r="E18" s="183">
        <f t="shared" si="2"/>
        <v>7322849.2260000007</v>
      </c>
    </row>
    <row r="19" spans="1:17" ht="15.75" customHeight="1">
      <c r="C19">
        <f>C17+C18</f>
        <v>72647314.400000006</v>
      </c>
      <c r="E19" s="165">
        <f>E17+E18</f>
        <v>191107081.99849999</v>
      </c>
    </row>
    <row r="20" spans="1:17" ht="15.75" customHeight="1">
      <c r="B20" s="623">
        <v>2014</v>
      </c>
    </row>
    <row r="21" spans="1:17" ht="15.75" customHeight="1">
      <c r="A21" s="4" t="s">
        <v>436</v>
      </c>
      <c r="B21" s="155">
        <v>241000</v>
      </c>
      <c r="C21" s="4">
        <v>63665464.600000001</v>
      </c>
      <c r="D21" s="95">
        <v>3.8250000000000002</v>
      </c>
      <c r="E21" s="183">
        <f t="shared" ref="E21:E22" si="3">D21*C21</f>
        <v>243520402.09500003</v>
      </c>
    </row>
    <row r="22" spans="1:17" ht="15.5">
      <c r="A22" s="4" t="s">
        <v>832</v>
      </c>
      <c r="B22" s="155">
        <v>19000</v>
      </c>
      <c r="C22" s="4">
        <v>5019269</v>
      </c>
      <c r="D22" s="95">
        <v>2.69</v>
      </c>
      <c r="E22" s="183">
        <f t="shared" si="3"/>
        <v>13501833.609999999</v>
      </c>
    </row>
    <row r="23" spans="1:17" ht="12.5">
      <c r="C23">
        <f>C21+C22</f>
        <v>68684733.599999994</v>
      </c>
      <c r="E23" s="165">
        <f>E21+E22</f>
        <v>257022235.70500004</v>
      </c>
    </row>
    <row r="24" spans="1:17" ht="13">
      <c r="B24" s="623">
        <v>2013</v>
      </c>
    </row>
    <row r="25" spans="1:17" ht="15.5">
      <c r="A25" s="4" t="s">
        <v>436</v>
      </c>
      <c r="B25" s="155">
        <v>260800</v>
      </c>
      <c r="C25" s="4">
        <v>68896071.299999997</v>
      </c>
      <c r="D25" s="95">
        <v>3.9220000000000002</v>
      </c>
      <c r="E25" s="183">
        <f t="shared" ref="E25:E26" si="4">D25*C25</f>
        <v>270210391.63859999</v>
      </c>
    </row>
    <row r="26" spans="1:17" ht="15.5">
      <c r="A26" s="4" t="s">
        <v>832</v>
      </c>
      <c r="B26" s="155">
        <v>10000</v>
      </c>
      <c r="C26" s="4">
        <v>2641721</v>
      </c>
      <c r="D26" s="95">
        <v>2.92</v>
      </c>
      <c r="E26" s="183">
        <f t="shared" si="4"/>
        <v>7713825.3199999994</v>
      </c>
    </row>
    <row r="27" spans="1:17" ht="12.5">
      <c r="C27" s="34">
        <f>C25+C26</f>
        <v>71537792.299999997</v>
      </c>
      <c r="E27" s="165">
        <f>E25+E26</f>
        <v>277924216.95859998</v>
      </c>
    </row>
    <row r="32" spans="1:17" ht="12.5">
      <c r="A32" s="139"/>
      <c r="B32" s="107"/>
      <c r="C32" s="107"/>
      <c r="D32" s="107"/>
      <c r="E32" s="107"/>
      <c r="F32" s="107"/>
      <c r="G32" s="107"/>
      <c r="H32" s="107"/>
      <c r="I32" s="107"/>
      <c r="J32" s="107"/>
      <c r="K32" s="107"/>
      <c r="L32" s="107"/>
      <c r="M32" s="107"/>
      <c r="N32" s="107"/>
      <c r="O32" s="107"/>
      <c r="P32" s="107"/>
      <c r="Q32" s="108"/>
    </row>
    <row r="33" spans="1:17" ht="15.5">
      <c r="A33" s="646">
        <v>2009</v>
      </c>
      <c r="C33" s="4" t="s">
        <v>847</v>
      </c>
      <c r="H33" s="997" t="s">
        <v>848</v>
      </c>
      <c r="I33" s="996"/>
      <c r="J33" s="996"/>
      <c r="K33" s="996"/>
      <c r="L33" s="996"/>
      <c r="Q33" s="110"/>
    </row>
    <row r="34" spans="1:17" ht="12.5">
      <c r="A34" s="109"/>
      <c r="C34" s="54">
        <v>32255407.600000001</v>
      </c>
      <c r="D34" s="4" t="s">
        <v>171</v>
      </c>
      <c r="H34" s="996"/>
      <c r="I34" s="996"/>
      <c r="J34" s="996"/>
      <c r="K34" s="996"/>
      <c r="L34" s="996"/>
      <c r="Q34" s="110"/>
    </row>
    <row r="35" spans="1:17" ht="12.5">
      <c r="A35" s="109"/>
      <c r="C35" s="14">
        <v>2.4670000000000001</v>
      </c>
      <c r="D35" s="648" t="s">
        <v>163</v>
      </c>
      <c r="H35" s="996"/>
      <c r="I35" s="996"/>
      <c r="J35" s="996"/>
      <c r="K35" s="996"/>
      <c r="L35" s="996"/>
      <c r="Q35" s="110"/>
    </row>
    <row r="36" spans="1:17" ht="12.5">
      <c r="A36" s="109"/>
      <c r="C36" s="651">
        <f>C35*C34</f>
        <v>79574090.549200013</v>
      </c>
      <c r="D36" s="4" t="s">
        <v>164</v>
      </c>
      <c r="Q36" s="110"/>
    </row>
    <row r="37" spans="1:17" ht="13">
      <c r="A37" s="109"/>
      <c r="H37" s="1050" t="s">
        <v>851</v>
      </c>
      <c r="I37" s="996"/>
      <c r="J37" s="655"/>
      <c r="K37" s="655"/>
      <c r="L37" s="657">
        <v>13982000</v>
      </c>
      <c r="M37" s="4">
        <v>15</v>
      </c>
      <c r="N37">
        <f>L37*M37</f>
        <v>209730000</v>
      </c>
      <c r="Q37" s="110"/>
    </row>
    <row r="38" spans="1:17" ht="12.5">
      <c r="A38" s="109"/>
      <c r="H38" s="181">
        <v>2412100000</v>
      </c>
      <c r="I38" s="4" t="s">
        <v>853</v>
      </c>
      <c r="J38" s="34">
        <f>N37/H38</f>
        <v>8.6949131462211351E-2</v>
      </c>
      <c r="Q38" s="110"/>
    </row>
    <row r="39" spans="1:17" ht="12.5">
      <c r="A39" s="109"/>
      <c r="Q39" s="110"/>
    </row>
    <row r="40" spans="1:17" ht="13">
      <c r="A40" s="109"/>
      <c r="C40" s="660">
        <v>2470042</v>
      </c>
      <c r="D40" s="648" t="s">
        <v>311</v>
      </c>
      <c r="E40" s="4" t="s">
        <v>854</v>
      </c>
      <c r="I40" s="4" t="s">
        <v>855</v>
      </c>
      <c r="J40" s="184">
        <f>P53-P56</f>
        <v>503235</v>
      </c>
      <c r="K40" s="4" t="s">
        <v>521</v>
      </c>
      <c r="M40" s="4" t="s">
        <v>492</v>
      </c>
      <c r="N40" s="4">
        <v>132000</v>
      </c>
      <c r="O40" s="4" t="s">
        <v>287</v>
      </c>
      <c r="Q40" s="110"/>
    </row>
    <row r="41" spans="1:17" ht="18">
      <c r="A41" s="109"/>
      <c r="C41" s="155" t="s">
        <v>856</v>
      </c>
      <c r="I41" s="4" t="s">
        <v>857</v>
      </c>
      <c r="J41" s="34">
        <f>J40/2200000</f>
        <v>0.22874318181818182</v>
      </c>
      <c r="N41" s="187">
        <v>5544000</v>
      </c>
      <c r="O41" s="4" t="s">
        <v>171</v>
      </c>
      <c r="Q41" s="110"/>
    </row>
    <row r="42" spans="1:17" ht="12.5">
      <c r="A42" s="109"/>
      <c r="M42" s="4" t="s">
        <v>258</v>
      </c>
      <c r="N42" s="34">
        <f>N41/C34</f>
        <v>0.17187815664124487</v>
      </c>
      <c r="Q42" s="110"/>
    </row>
    <row r="43" spans="1:17" ht="12.5">
      <c r="A43" s="109"/>
      <c r="C43" s="4" t="s">
        <v>859</v>
      </c>
      <c r="Q43" s="110"/>
    </row>
    <row r="44" spans="1:17" ht="12.5">
      <c r="A44" s="109"/>
      <c r="C44" s="4" t="s">
        <v>860</v>
      </c>
      <c r="I44" s="4" t="s">
        <v>861</v>
      </c>
      <c r="Q44" s="110"/>
    </row>
    <row r="45" spans="1:17" ht="12.5">
      <c r="A45" s="109"/>
      <c r="Q45" s="110"/>
    </row>
    <row r="46" spans="1:17" ht="12.5">
      <c r="A46" s="109"/>
      <c r="C46" s="1051" t="s">
        <v>862</v>
      </c>
      <c r="D46" s="996"/>
      <c r="E46" s="996"/>
      <c r="F46" s="996"/>
      <c r="G46" s="996"/>
      <c r="H46" s="996"/>
      <c r="I46" s="996"/>
      <c r="J46" s="996"/>
      <c r="K46" s="996"/>
      <c r="L46" s="996"/>
      <c r="M46" s="996"/>
      <c r="Q46" s="110"/>
    </row>
    <row r="47" spans="1:17" ht="12.5">
      <c r="A47" s="109"/>
      <c r="C47" s="996"/>
      <c r="D47" s="996"/>
      <c r="E47" s="996"/>
      <c r="F47" s="996"/>
      <c r="G47" s="996"/>
      <c r="H47" s="996"/>
      <c r="I47" s="996"/>
      <c r="J47" s="996"/>
      <c r="K47" s="996"/>
      <c r="L47" s="996"/>
      <c r="M47" s="996"/>
      <c r="Q47" s="110"/>
    </row>
    <row r="48" spans="1:17" ht="12.5">
      <c r="A48" s="109"/>
      <c r="C48" s="996"/>
      <c r="D48" s="996"/>
      <c r="E48" s="996"/>
      <c r="F48" s="996"/>
      <c r="G48" s="996"/>
      <c r="H48" s="996"/>
      <c r="I48" s="996"/>
      <c r="J48" s="996"/>
      <c r="K48" s="996"/>
      <c r="L48" s="996"/>
      <c r="M48" s="996"/>
      <c r="Q48" s="110"/>
    </row>
    <row r="49" spans="1:17" ht="13">
      <c r="A49" s="109"/>
      <c r="C49" s="664" t="s">
        <v>863</v>
      </c>
      <c r="D49" s="666"/>
      <c r="E49" s="666"/>
      <c r="F49" s="666"/>
      <c r="G49" s="107"/>
      <c r="H49" s="107"/>
      <c r="I49" s="107"/>
      <c r="J49" s="107"/>
      <c r="K49" s="107"/>
      <c r="L49" s="107"/>
      <c r="M49" s="107"/>
      <c r="N49" s="107"/>
      <c r="O49" s="107"/>
      <c r="P49" s="107"/>
      <c r="Q49" s="108"/>
    </row>
    <row r="50" spans="1:17" ht="15.5">
      <c r="A50" s="109"/>
      <c r="C50" s="1053" t="s">
        <v>867</v>
      </c>
      <c r="D50" s="996"/>
      <c r="E50" s="668"/>
      <c r="F50" s="668"/>
      <c r="G50" s="670">
        <v>2010</v>
      </c>
      <c r="H50" s="668"/>
      <c r="I50" s="668"/>
      <c r="J50" s="670">
        <v>2011</v>
      </c>
      <c r="K50" s="668"/>
      <c r="L50" s="668"/>
      <c r="M50" s="670">
        <v>2012</v>
      </c>
      <c r="N50" s="668"/>
      <c r="O50" s="668"/>
      <c r="P50" s="670" t="s">
        <v>835</v>
      </c>
      <c r="Q50" s="671"/>
    </row>
    <row r="51" spans="1:17" ht="12.5">
      <c r="A51" s="109"/>
      <c r="C51" s="1013"/>
      <c r="D51" s="996"/>
      <c r="E51" s="996"/>
      <c r="F51" s="996"/>
      <c r="G51" s="996"/>
      <c r="H51" s="996"/>
      <c r="I51" s="996"/>
      <c r="J51" s="996"/>
      <c r="K51" s="996"/>
      <c r="L51" s="996"/>
      <c r="M51" s="996"/>
      <c r="N51" s="996"/>
      <c r="O51" s="996"/>
      <c r="P51" s="996"/>
      <c r="Q51" s="998"/>
    </row>
    <row r="52" spans="1:17" ht="15.5">
      <c r="A52" s="109"/>
      <c r="C52" s="1048" t="s">
        <v>871</v>
      </c>
      <c r="D52" s="996"/>
      <c r="E52" s="668"/>
      <c r="F52" s="668"/>
      <c r="G52" s="668"/>
      <c r="H52" s="668"/>
      <c r="I52" s="668"/>
      <c r="J52" s="668"/>
      <c r="K52" s="668"/>
      <c r="L52" s="668"/>
      <c r="M52" s="668"/>
      <c r="N52" s="668"/>
      <c r="O52" s="668"/>
      <c r="P52" s="668"/>
      <c r="Q52" s="671"/>
    </row>
    <row r="53" spans="1:17" ht="15.5">
      <c r="A53" s="109"/>
      <c r="C53" s="673"/>
      <c r="D53" s="675" t="s">
        <v>872</v>
      </c>
      <c r="E53" s="668"/>
      <c r="F53" s="668"/>
      <c r="G53" s="676">
        <v>219000</v>
      </c>
      <c r="H53" s="668"/>
      <c r="I53" s="668"/>
      <c r="J53" s="676">
        <v>319660</v>
      </c>
      <c r="K53" s="668"/>
      <c r="L53" s="668"/>
      <c r="M53" s="676">
        <v>74075</v>
      </c>
      <c r="N53" s="668"/>
      <c r="O53" s="668"/>
      <c r="P53" s="676">
        <v>612735</v>
      </c>
      <c r="Q53" s="671"/>
    </row>
    <row r="54" spans="1:17" ht="15.5">
      <c r="A54" s="109"/>
      <c r="C54" s="673"/>
      <c r="D54" s="675" t="s">
        <v>873</v>
      </c>
      <c r="E54" s="668"/>
      <c r="F54" s="675" t="s">
        <v>296</v>
      </c>
      <c r="G54" s="670">
        <v>642.29999999999995</v>
      </c>
      <c r="H54" s="668"/>
      <c r="I54" s="675" t="s">
        <v>296</v>
      </c>
      <c r="J54" s="670">
        <v>621.24</v>
      </c>
      <c r="K54" s="668"/>
      <c r="L54" s="675" t="s">
        <v>296</v>
      </c>
      <c r="M54" s="670">
        <v>674.44</v>
      </c>
      <c r="N54" s="668"/>
      <c r="O54" s="675" t="s">
        <v>296</v>
      </c>
      <c r="P54" s="670">
        <v>635.20000000000005</v>
      </c>
      <c r="Q54" s="671"/>
    </row>
    <row r="55" spans="1:17" ht="12.5">
      <c r="A55" s="109"/>
      <c r="C55" s="1013"/>
      <c r="D55" s="996"/>
      <c r="E55" s="996"/>
      <c r="F55" s="996"/>
      <c r="G55" s="996"/>
      <c r="H55" s="996"/>
      <c r="I55" s="996"/>
      <c r="J55" s="996"/>
      <c r="K55" s="996"/>
      <c r="L55" s="996"/>
      <c r="M55" s="996"/>
      <c r="N55" s="996"/>
      <c r="O55" s="996"/>
      <c r="P55" s="996"/>
      <c r="Q55" s="998"/>
    </row>
    <row r="56" spans="1:17" ht="15.5">
      <c r="A56" s="109"/>
      <c r="C56" s="673"/>
      <c r="D56" s="675" t="s">
        <v>874</v>
      </c>
      <c r="E56" s="668"/>
      <c r="F56" s="668"/>
      <c r="G56" s="676">
        <v>109500</v>
      </c>
      <c r="H56" s="668"/>
      <c r="I56" s="668"/>
      <c r="J56" s="670" t="s">
        <v>876</v>
      </c>
      <c r="K56" s="668"/>
      <c r="L56" s="668"/>
      <c r="M56" s="670" t="s">
        <v>876</v>
      </c>
      <c r="N56" s="668"/>
      <c r="O56" s="668"/>
      <c r="P56" s="676">
        <v>109500</v>
      </c>
      <c r="Q56" s="671"/>
    </row>
    <row r="57" spans="1:17" ht="15.5">
      <c r="A57" s="109"/>
      <c r="C57" s="673"/>
      <c r="D57" s="675" t="s">
        <v>873</v>
      </c>
      <c r="E57" s="668"/>
      <c r="F57" s="675" t="s">
        <v>296</v>
      </c>
      <c r="G57" s="681">
        <v>1180.3</v>
      </c>
      <c r="H57" s="668"/>
      <c r="I57" s="675" t="s">
        <v>296</v>
      </c>
      <c r="J57" s="670" t="s">
        <v>876</v>
      </c>
      <c r="K57" s="668"/>
      <c r="L57" s="675" t="s">
        <v>296</v>
      </c>
      <c r="M57" s="670" t="s">
        <v>876</v>
      </c>
      <c r="N57" s="668"/>
      <c r="O57" s="675" t="s">
        <v>296</v>
      </c>
      <c r="P57" s="681">
        <v>1180.3</v>
      </c>
      <c r="Q57" s="671"/>
    </row>
    <row r="58" spans="1:17" ht="12.5">
      <c r="A58" s="109"/>
      <c r="C58" s="1013"/>
      <c r="D58" s="996"/>
      <c r="E58" s="996"/>
      <c r="F58" s="996"/>
      <c r="G58" s="996"/>
      <c r="H58" s="996"/>
      <c r="I58" s="996"/>
      <c r="J58" s="996"/>
      <c r="K58" s="996"/>
      <c r="L58" s="996"/>
      <c r="M58" s="996"/>
      <c r="N58" s="996"/>
      <c r="O58" s="996"/>
      <c r="P58" s="996"/>
      <c r="Q58" s="998"/>
    </row>
    <row r="59" spans="1:17" ht="15.5">
      <c r="A59" s="109"/>
      <c r="C59" s="682"/>
      <c r="D59" s="684" t="s">
        <v>878</v>
      </c>
      <c r="E59" s="688"/>
      <c r="F59" s="688"/>
      <c r="G59" s="690">
        <v>3600</v>
      </c>
      <c r="H59" s="688"/>
      <c r="I59" s="688"/>
      <c r="J59" s="690">
        <v>3600</v>
      </c>
      <c r="K59" s="688"/>
      <c r="L59" s="688"/>
      <c r="M59" s="692" t="s">
        <v>876</v>
      </c>
      <c r="N59" s="688"/>
      <c r="O59" s="688"/>
      <c r="P59" s="690">
        <v>7200</v>
      </c>
      <c r="Q59" s="694"/>
    </row>
    <row r="60" spans="1:17" ht="15.5">
      <c r="A60" s="109"/>
      <c r="C60" s="682"/>
      <c r="D60" s="684" t="s">
        <v>873</v>
      </c>
      <c r="E60" s="688"/>
      <c r="F60" s="684" t="s">
        <v>296</v>
      </c>
      <c r="G60" s="692">
        <v>10.71</v>
      </c>
      <c r="H60" s="688"/>
      <c r="I60" s="684" t="s">
        <v>296</v>
      </c>
      <c r="J60" s="692">
        <v>10.71</v>
      </c>
      <c r="K60" s="688"/>
      <c r="L60" s="684" t="s">
        <v>296</v>
      </c>
      <c r="M60" s="692" t="s">
        <v>876</v>
      </c>
      <c r="N60" s="688"/>
      <c r="O60" s="684" t="s">
        <v>296</v>
      </c>
      <c r="P60" s="692">
        <v>10.71</v>
      </c>
      <c r="Q60" s="694"/>
    </row>
    <row r="61" spans="1:17" ht="12.5">
      <c r="A61" s="109"/>
      <c r="C61" s="1049"/>
      <c r="D61" s="996"/>
      <c r="E61" s="996"/>
      <c r="F61" s="996"/>
      <c r="G61" s="996"/>
      <c r="H61" s="996"/>
      <c r="I61" s="996"/>
      <c r="J61" s="996"/>
      <c r="K61" s="996"/>
      <c r="L61" s="996"/>
      <c r="M61" s="996"/>
      <c r="N61" s="996"/>
      <c r="O61" s="996"/>
      <c r="P61" s="996"/>
      <c r="Q61" s="998"/>
    </row>
    <row r="62" spans="1:17" ht="15.5">
      <c r="A62" s="109"/>
      <c r="C62" s="682"/>
      <c r="D62" s="684" t="s">
        <v>880</v>
      </c>
      <c r="E62" s="688"/>
      <c r="F62" s="688"/>
      <c r="G62" s="692" t="s">
        <v>876</v>
      </c>
      <c r="H62" s="688"/>
      <c r="I62" s="688"/>
      <c r="J62" s="692" t="s">
        <v>876</v>
      </c>
      <c r="K62" s="688"/>
      <c r="L62" s="688"/>
      <c r="M62" s="692" t="s">
        <v>876</v>
      </c>
      <c r="N62" s="688"/>
      <c r="O62" s="688"/>
      <c r="P62" s="692" t="s">
        <v>876</v>
      </c>
      <c r="Q62" s="694"/>
    </row>
    <row r="63" spans="1:17" ht="15.5">
      <c r="A63" s="109"/>
      <c r="C63" s="682"/>
      <c r="D63" s="684" t="s">
        <v>873</v>
      </c>
      <c r="E63" s="688"/>
      <c r="F63" s="684" t="s">
        <v>296</v>
      </c>
      <c r="G63" s="692" t="s">
        <v>876</v>
      </c>
      <c r="H63" s="688"/>
      <c r="I63" s="684" t="s">
        <v>296</v>
      </c>
      <c r="J63" s="692" t="s">
        <v>876</v>
      </c>
      <c r="K63" s="688"/>
      <c r="L63" s="684" t="s">
        <v>296</v>
      </c>
      <c r="M63" s="692" t="s">
        <v>876</v>
      </c>
      <c r="N63" s="688"/>
      <c r="O63" s="684" t="s">
        <v>296</v>
      </c>
      <c r="P63" s="692" t="s">
        <v>876</v>
      </c>
      <c r="Q63" s="694"/>
    </row>
    <row r="64" spans="1:17" ht="12.5">
      <c r="A64" s="109"/>
      <c r="C64" s="1049"/>
      <c r="D64" s="996"/>
      <c r="E64" s="996"/>
      <c r="F64" s="996"/>
      <c r="G64" s="996"/>
      <c r="H64" s="996"/>
      <c r="I64" s="996"/>
      <c r="J64" s="996"/>
      <c r="K64" s="996"/>
      <c r="L64" s="996"/>
      <c r="M64" s="996"/>
      <c r="N64" s="996"/>
      <c r="O64" s="996"/>
      <c r="P64" s="996"/>
      <c r="Q64" s="998"/>
    </row>
    <row r="65" spans="1:17" ht="15.5">
      <c r="A65" s="109"/>
      <c r="C65" s="682"/>
      <c r="D65" s="684" t="s">
        <v>883</v>
      </c>
      <c r="E65" s="688"/>
      <c r="F65" s="688"/>
      <c r="G65" s="692">
        <v>689</v>
      </c>
      <c r="H65" s="688"/>
      <c r="I65" s="688"/>
      <c r="J65" s="690">
        <v>2806</v>
      </c>
      <c r="K65" s="688"/>
      <c r="L65" s="688"/>
      <c r="M65" s="692" t="s">
        <v>876</v>
      </c>
      <c r="N65" s="688"/>
      <c r="O65" s="688"/>
      <c r="P65" s="690">
        <v>3495</v>
      </c>
      <c r="Q65" s="694"/>
    </row>
    <row r="66" spans="1:17" ht="15.5">
      <c r="A66" s="109"/>
      <c r="C66" s="682"/>
      <c r="D66" s="684" t="s">
        <v>873</v>
      </c>
      <c r="E66" s="688"/>
      <c r="F66" s="684" t="s">
        <v>296</v>
      </c>
      <c r="G66" s="692">
        <v>13</v>
      </c>
      <c r="H66" s="688"/>
      <c r="I66" s="684" t="s">
        <v>296</v>
      </c>
      <c r="J66" s="692">
        <v>13</v>
      </c>
      <c r="K66" s="688"/>
      <c r="L66" s="684" t="s">
        <v>296</v>
      </c>
      <c r="M66" s="692" t="s">
        <v>876</v>
      </c>
      <c r="N66" s="688"/>
      <c r="O66" s="684" t="s">
        <v>296</v>
      </c>
      <c r="P66" s="692">
        <v>13</v>
      </c>
      <c r="Q66" s="694"/>
    </row>
    <row r="67" spans="1:17" ht="12.5">
      <c r="A67" s="109"/>
      <c r="C67" s="1049"/>
      <c r="D67" s="996"/>
      <c r="E67" s="996"/>
      <c r="F67" s="996"/>
      <c r="G67" s="996"/>
      <c r="H67" s="996"/>
      <c r="I67" s="996"/>
      <c r="J67" s="996"/>
      <c r="K67" s="996"/>
      <c r="L67" s="996"/>
      <c r="M67" s="996"/>
      <c r="N67" s="996"/>
      <c r="O67" s="996"/>
      <c r="P67" s="996"/>
      <c r="Q67" s="998"/>
    </row>
    <row r="68" spans="1:17" ht="15.5">
      <c r="A68" s="109"/>
      <c r="C68" s="682"/>
      <c r="D68" s="684" t="s">
        <v>885</v>
      </c>
      <c r="E68" s="688"/>
      <c r="F68" s="688"/>
      <c r="G68" s="692">
        <v>689</v>
      </c>
      <c r="H68" s="688"/>
      <c r="I68" s="688"/>
      <c r="J68" s="690">
        <v>2806</v>
      </c>
      <c r="K68" s="688"/>
      <c r="L68" s="688"/>
      <c r="M68" s="692" t="s">
        <v>876</v>
      </c>
      <c r="N68" s="688"/>
      <c r="O68" s="688"/>
      <c r="P68" s="690">
        <v>3495</v>
      </c>
      <c r="Q68" s="694"/>
    </row>
    <row r="69" spans="1:17" ht="15.5">
      <c r="A69" s="109"/>
      <c r="C69" s="682"/>
      <c r="D69" s="684" t="s">
        <v>873</v>
      </c>
      <c r="E69" s="688"/>
      <c r="F69" s="684" t="s">
        <v>296</v>
      </c>
      <c r="G69" s="692">
        <v>16.86</v>
      </c>
      <c r="H69" s="688"/>
      <c r="I69" s="684" t="s">
        <v>296</v>
      </c>
      <c r="J69" s="692">
        <v>17.29</v>
      </c>
      <c r="K69" s="688"/>
      <c r="L69" s="684" t="s">
        <v>296</v>
      </c>
      <c r="M69" s="692" t="s">
        <v>876</v>
      </c>
      <c r="N69" s="688"/>
      <c r="O69" s="684" t="s">
        <v>296</v>
      </c>
      <c r="P69" s="692">
        <v>17.2</v>
      </c>
      <c r="Q69" s="694"/>
    </row>
    <row r="70" spans="1:17" ht="12.5">
      <c r="A70" s="109"/>
      <c r="C70" s="1013"/>
      <c r="D70" s="996"/>
      <c r="E70" s="996"/>
      <c r="F70" s="996"/>
      <c r="G70" s="996"/>
      <c r="H70" s="996"/>
      <c r="I70" s="996"/>
      <c r="J70" s="996"/>
      <c r="K70" s="996"/>
      <c r="L70" s="996"/>
      <c r="M70" s="996"/>
      <c r="N70" s="996"/>
      <c r="O70" s="996"/>
      <c r="P70" s="996"/>
      <c r="Q70" s="998"/>
    </row>
    <row r="71" spans="1:17" ht="15.5">
      <c r="A71" s="109"/>
      <c r="C71" s="1048" t="s">
        <v>886</v>
      </c>
      <c r="D71" s="996"/>
      <c r="E71" s="668"/>
      <c r="F71" s="668"/>
      <c r="G71" s="668"/>
      <c r="H71" s="668"/>
      <c r="I71" s="668"/>
      <c r="J71" s="668"/>
      <c r="K71" s="668"/>
      <c r="L71" s="668"/>
      <c r="M71" s="668"/>
      <c r="N71" s="668"/>
      <c r="O71" s="668"/>
      <c r="P71" s="668"/>
      <c r="Q71" s="671"/>
    </row>
    <row r="72" spans="1:17" ht="15.5">
      <c r="A72" s="109"/>
      <c r="C72" s="673"/>
      <c r="D72" s="675" t="s">
        <v>889</v>
      </c>
      <c r="E72" s="668"/>
      <c r="F72" s="668"/>
      <c r="G72" s="670">
        <v>120</v>
      </c>
      <c r="H72" s="668"/>
      <c r="I72" s="668"/>
      <c r="J72" s="670" t="s">
        <v>876</v>
      </c>
      <c r="K72" s="668"/>
      <c r="L72" s="668"/>
      <c r="M72" s="670" t="s">
        <v>876</v>
      </c>
      <c r="N72" s="668"/>
      <c r="O72" s="668"/>
      <c r="P72" s="670">
        <v>120</v>
      </c>
      <c r="Q72" s="671"/>
    </row>
    <row r="73" spans="1:17" ht="15.5">
      <c r="A73" s="109"/>
      <c r="C73" s="673"/>
      <c r="D73" s="675" t="s">
        <v>873</v>
      </c>
      <c r="E73" s="668"/>
      <c r="F73" s="675" t="s">
        <v>296</v>
      </c>
      <c r="G73" s="670">
        <v>2.15</v>
      </c>
      <c r="H73" s="668"/>
      <c r="I73" s="675" t="s">
        <v>296</v>
      </c>
      <c r="J73" s="670" t="s">
        <v>876</v>
      </c>
      <c r="K73" s="668"/>
      <c r="L73" s="675" t="s">
        <v>296</v>
      </c>
      <c r="M73" s="670" t="s">
        <v>876</v>
      </c>
      <c r="N73" s="668"/>
      <c r="O73" s="675" t="s">
        <v>296</v>
      </c>
      <c r="P73" s="670">
        <v>2.15</v>
      </c>
      <c r="Q73" s="671"/>
    </row>
    <row r="74" spans="1:17" ht="12.5">
      <c r="A74" s="109"/>
      <c r="C74" s="1013"/>
      <c r="D74" s="996"/>
      <c r="E74" s="996"/>
      <c r="F74" s="996"/>
      <c r="G74" s="996"/>
      <c r="H74" s="996"/>
      <c r="I74" s="996"/>
      <c r="J74" s="996"/>
      <c r="K74" s="996"/>
      <c r="L74" s="996"/>
      <c r="M74" s="996"/>
      <c r="N74" s="996"/>
      <c r="O74" s="996"/>
      <c r="P74" s="996"/>
      <c r="Q74" s="998"/>
    </row>
    <row r="75" spans="1:17" ht="15.5">
      <c r="A75" s="109"/>
      <c r="C75" s="673"/>
      <c r="D75" s="675" t="s">
        <v>890</v>
      </c>
      <c r="E75" s="668"/>
      <c r="F75" s="668"/>
      <c r="G75" s="670">
        <v>24</v>
      </c>
      <c r="H75" s="668"/>
      <c r="I75" s="668"/>
      <c r="J75" s="670" t="s">
        <v>876</v>
      </c>
      <c r="K75" s="668"/>
      <c r="L75" s="668"/>
      <c r="M75" s="670" t="s">
        <v>876</v>
      </c>
      <c r="N75" s="668"/>
      <c r="O75" s="668"/>
      <c r="P75" s="670">
        <v>24</v>
      </c>
      <c r="Q75" s="671"/>
    </row>
    <row r="76" spans="1:17" ht="15.5">
      <c r="A76" s="109"/>
      <c r="C76" s="673"/>
      <c r="D76" s="675" t="s">
        <v>873</v>
      </c>
      <c r="E76" s="668"/>
      <c r="F76" s="675" t="s">
        <v>296</v>
      </c>
      <c r="G76" s="670">
        <v>699.16</v>
      </c>
      <c r="H76" s="668"/>
      <c r="I76" s="675" t="s">
        <v>296</v>
      </c>
      <c r="J76" s="670" t="s">
        <v>876</v>
      </c>
      <c r="K76" s="668"/>
      <c r="L76" s="675" t="s">
        <v>296</v>
      </c>
      <c r="M76" s="670" t="s">
        <v>876</v>
      </c>
      <c r="N76" s="668"/>
      <c r="O76" s="675" t="s">
        <v>296</v>
      </c>
      <c r="P76" s="670">
        <v>699.16</v>
      </c>
      <c r="Q76" s="671"/>
    </row>
    <row r="77" spans="1:17" ht="12.5">
      <c r="A77" s="109"/>
      <c r="C77" s="1013"/>
      <c r="D77" s="996"/>
      <c r="E77" s="996"/>
      <c r="F77" s="996"/>
      <c r="G77" s="996"/>
      <c r="H77" s="996"/>
      <c r="I77" s="996"/>
      <c r="J77" s="996"/>
      <c r="K77" s="996"/>
      <c r="L77" s="996"/>
      <c r="M77" s="996"/>
      <c r="N77" s="996"/>
      <c r="O77" s="996"/>
      <c r="P77" s="996"/>
      <c r="Q77" s="998"/>
    </row>
    <row r="78" spans="1:17" ht="15.5">
      <c r="A78" s="109"/>
      <c r="C78" s="673"/>
      <c r="D78" s="675" t="s">
        <v>891</v>
      </c>
      <c r="E78" s="668"/>
      <c r="F78" s="668"/>
      <c r="G78" s="670">
        <v>48</v>
      </c>
      <c r="H78" s="668"/>
      <c r="I78" s="668"/>
      <c r="J78" s="670" t="s">
        <v>876</v>
      </c>
      <c r="K78" s="668"/>
      <c r="L78" s="668"/>
      <c r="M78" s="670" t="s">
        <v>876</v>
      </c>
      <c r="N78" s="668"/>
      <c r="O78" s="668"/>
      <c r="P78" s="670">
        <v>48</v>
      </c>
      <c r="Q78" s="671"/>
    </row>
    <row r="79" spans="1:17" ht="15.5">
      <c r="A79" s="109"/>
      <c r="C79" s="673"/>
      <c r="D79" s="675" t="s">
        <v>873</v>
      </c>
      <c r="E79" s="668"/>
      <c r="F79" s="675" t="s">
        <v>296</v>
      </c>
      <c r="G79" s="670">
        <v>34.93</v>
      </c>
      <c r="H79" s="668"/>
      <c r="I79" s="675" t="s">
        <v>296</v>
      </c>
      <c r="J79" s="670" t="s">
        <v>876</v>
      </c>
      <c r="K79" s="668"/>
      <c r="L79" s="675" t="s">
        <v>296</v>
      </c>
      <c r="M79" s="670" t="s">
        <v>876</v>
      </c>
      <c r="N79" s="668"/>
      <c r="O79" s="675" t="s">
        <v>296</v>
      </c>
      <c r="P79" s="670">
        <v>34.93</v>
      </c>
      <c r="Q79" s="671"/>
    </row>
    <row r="80" spans="1:17" ht="12.5">
      <c r="A80" s="109"/>
      <c r="C80" s="1013"/>
      <c r="D80" s="996"/>
      <c r="E80" s="996"/>
      <c r="F80" s="996"/>
      <c r="G80" s="996"/>
      <c r="H80" s="996"/>
      <c r="I80" s="996"/>
      <c r="J80" s="996"/>
      <c r="K80" s="996"/>
      <c r="L80" s="996"/>
      <c r="M80" s="996"/>
      <c r="N80" s="996"/>
      <c r="O80" s="996"/>
      <c r="P80" s="996"/>
      <c r="Q80" s="998"/>
    </row>
    <row r="81" spans="1:17" ht="15.5">
      <c r="A81" s="109"/>
      <c r="C81" s="673"/>
      <c r="D81" s="675" t="s">
        <v>892</v>
      </c>
      <c r="E81" s="668"/>
      <c r="F81" s="668"/>
      <c r="G81" s="670">
        <v>24</v>
      </c>
      <c r="H81" s="668"/>
      <c r="I81" s="668"/>
      <c r="J81" s="670" t="s">
        <v>876</v>
      </c>
      <c r="K81" s="668"/>
      <c r="L81" s="668"/>
      <c r="M81" s="670" t="s">
        <v>876</v>
      </c>
      <c r="N81" s="668"/>
      <c r="O81" s="668"/>
      <c r="P81" s="670">
        <v>24</v>
      </c>
      <c r="Q81" s="671"/>
    </row>
    <row r="82" spans="1:17" ht="15.5">
      <c r="A82" s="109"/>
      <c r="C82" s="673"/>
      <c r="D82" s="675" t="s">
        <v>873</v>
      </c>
      <c r="E82" s="668"/>
      <c r="F82" s="675" t="s">
        <v>296</v>
      </c>
      <c r="G82" s="670">
        <v>1.05</v>
      </c>
      <c r="H82" s="668"/>
      <c r="I82" s="675" t="s">
        <v>296</v>
      </c>
      <c r="J82" s="670" t="s">
        <v>876</v>
      </c>
      <c r="K82" s="668"/>
      <c r="L82" s="675" t="s">
        <v>296</v>
      </c>
      <c r="M82" s="670" t="s">
        <v>876</v>
      </c>
      <c r="N82" s="668"/>
      <c r="O82" s="675" t="s">
        <v>296</v>
      </c>
      <c r="P82" s="670">
        <v>1.05</v>
      </c>
      <c r="Q82" s="671"/>
    </row>
    <row r="83" spans="1:17" ht="12.5">
      <c r="A83" s="109"/>
      <c r="C83" s="1013"/>
      <c r="D83" s="996"/>
      <c r="E83" s="996"/>
      <c r="F83" s="996"/>
      <c r="G83" s="996"/>
      <c r="H83" s="996"/>
      <c r="I83" s="996"/>
      <c r="J83" s="996"/>
      <c r="K83" s="996"/>
      <c r="L83" s="996"/>
      <c r="M83" s="996"/>
      <c r="N83" s="996"/>
      <c r="O83" s="996"/>
      <c r="P83" s="996"/>
      <c r="Q83" s="998"/>
    </row>
    <row r="84" spans="1:17" ht="15.5">
      <c r="A84" s="109"/>
      <c r="C84" s="1048" t="s">
        <v>893</v>
      </c>
      <c r="D84" s="996"/>
      <c r="E84" s="668"/>
      <c r="F84" s="668"/>
      <c r="G84" s="668"/>
      <c r="H84" s="668"/>
      <c r="I84" s="668"/>
      <c r="J84" s="668"/>
      <c r="K84" s="668"/>
      <c r="L84" s="668"/>
      <c r="M84" s="668"/>
      <c r="N84" s="668"/>
      <c r="O84" s="668"/>
      <c r="P84" s="668"/>
      <c r="Q84" s="671"/>
    </row>
    <row r="85" spans="1:17" ht="15.5">
      <c r="A85" s="109"/>
      <c r="C85" s="673"/>
      <c r="D85" s="675" t="s">
        <v>894</v>
      </c>
      <c r="E85" s="668"/>
      <c r="F85" s="668"/>
      <c r="G85" s="676">
        <v>132000</v>
      </c>
      <c r="H85" s="668"/>
      <c r="I85" s="668"/>
      <c r="J85" s="670" t="s">
        <v>876</v>
      </c>
      <c r="K85" s="668"/>
      <c r="L85" s="668"/>
      <c r="M85" s="670" t="s">
        <v>876</v>
      </c>
      <c r="N85" s="668"/>
      <c r="O85" s="668"/>
      <c r="P85" s="676">
        <v>132000</v>
      </c>
      <c r="Q85" s="671"/>
    </row>
    <row r="86" spans="1:17" ht="15.5">
      <c r="A86" s="109"/>
      <c r="C86" s="673"/>
      <c r="D86" s="675" t="s">
        <v>873</v>
      </c>
      <c r="E86" s="668"/>
      <c r="F86" s="675" t="s">
        <v>296</v>
      </c>
      <c r="G86" s="670">
        <v>72.5</v>
      </c>
      <c r="H86" s="668"/>
      <c r="I86" s="675" t="s">
        <v>296</v>
      </c>
      <c r="J86" s="670" t="s">
        <v>876</v>
      </c>
      <c r="K86" s="668"/>
      <c r="L86" s="675" t="s">
        <v>296</v>
      </c>
      <c r="M86" s="670" t="s">
        <v>876</v>
      </c>
      <c r="N86" s="668"/>
      <c r="O86" s="675" t="s">
        <v>296</v>
      </c>
      <c r="P86" s="670">
        <v>72.5</v>
      </c>
      <c r="Q86" s="671"/>
    </row>
    <row r="87" spans="1:17" ht="12.5">
      <c r="A87" s="109"/>
      <c r="C87" s="1028"/>
      <c r="D87" s="1008"/>
      <c r="E87" s="1008"/>
      <c r="F87" s="1008"/>
      <c r="G87" s="1008"/>
      <c r="H87" s="1008"/>
      <c r="I87" s="1008"/>
      <c r="J87" s="1008"/>
      <c r="K87" s="1008"/>
      <c r="L87" s="1008"/>
      <c r="M87" s="1008"/>
      <c r="N87" s="1008"/>
      <c r="O87" s="1008"/>
      <c r="P87" s="1008"/>
      <c r="Q87" s="1025"/>
    </row>
    <row r="88" spans="1:17" ht="12.5">
      <c r="A88" s="109"/>
      <c r="Q88" s="110"/>
    </row>
    <row r="89" spans="1:17" ht="12.5">
      <c r="A89" s="109"/>
      <c r="E89" s="997" t="s">
        <v>895</v>
      </c>
      <c r="F89" s="996"/>
      <c r="G89" s="996"/>
      <c r="H89" s="996"/>
      <c r="I89" s="996"/>
      <c r="J89" s="996"/>
      <c r="K89" s="996"/>
      <c r="L89" s="996"/>
      <c r="M89" s="996"/>
      <c r="Q89" s="110"/>
    </row>
    <row r="90" spans="1:17" ht="12.5">
      <c r="A90" s="113"/>
      <c r="B90" s="114"/>
      <c r="C90" s="114"/>
      <c r="D90" s="114"/>
      <c r="E90" s="1008"/>
      <c r="F90" s="1008"/>
      <c r="G90" s="1008"/>
      <c r="H90" s="1008"/>
      <c r="I90" s="1008"/>
      <c r="J90" s="1008"/>
      <c r="K90" s="1008"/>
      <c r="L90" s="1008"/>
      <c r="M90" s="1008"/>
      <c r="N90" s="114"/>
      <c r="O90" s="114"/>
      <c r="P90" s="114"/>
      <c r="Q90" s="115"/>
    </row>
    <row r="94" spans="1:17" ht="15.5">
      <c r="B94" s="396">
        <v>2010</v>
      </c>
      <c r="C94" s="106" t="s">
        <v>274</v>
      </c>
      <c r="D94" s="173">
        <v>146500</v>
      </c>
      <c r="E94" s="106" t="s">
        <v>828</v>
      </c>
      <c r="F94" s="107"/>
      <c r="G94" s="106" t="s">
        <v>896</v>
      </c>
      <c r="H94" s="107"/>
      <c r="I94" s="107"/>
      <c r="J94" s="709">
        <v>3010100000</v>
      </c>
      <c r="K94" s="106" t="s">
        <v>267</v>
      </c>
      <c r="L94" s="108"/>
    </row>
    <row r="95" spans="1:17" ht="12.5">
      <c r="B95" s="109"/>
      <c r="D95" s="54">
        <v>38701205.700000003</v>
      </c>
      <c r="E95" s="4" t="s">
        <v>171</v>
      </c>
      <c r="G95" s="4">
        <v>11281000</v>
      </c>
      <c r="L95" s="110"/>
    </row>
    <row r="96" spans="1:17" ht="13">
      <c r="B96" s="109"/>
      <c r="D96" s="14">
        <v>2.992</v>
      </c>
      <c r="E96" s="4" t="s">
        <v>163</v>
      </c>
      <c r="G96" s="710">
        <v>20.190000000000001</v>
      </c>
      <c r="H96" s="4" t="s">
        <v>163</v>
      </c>
      <c r="L96" s="110"/>
    </row>
    <row r="97" spans="2:12" ht="12.5">
      <c r="B97" s="109"/>
      <c r="D97" s="34">
        <f>D96*D95</f>
        <v>115794007.4544</v>
      </c>
      <c r="E97" s="4" t="s">
        <v>164</v>
      </c>
      <c r="G97" s="183">
        <f>G96*G95</f>
        <v>227763390</v>
      </c>
      <c r="I97" s="4" t="s">
        <v>254</v>
      </c>
      <c r="J97" s="712">
        <f>G97/J94</f>
        <v>7.5666386498787416E-2</v>
      </c>
      <c r="L97" s="110"/>
    </row>
    <row r="98" spans="2:12" ht="12.5">
      <c r="B98" s="109"/>
      <c r="L98" s="110"/>
    </row>
    <row r="99" spans="2:12" ht="12.5">
      <c r="B99" s="109"/>
      <c r="D99" s="4" t="s">
        <v>904</v>
      </c>
      <c r="L99" s="110"/>
    </row>
    <row r="100" spans="2:12" ht="12.5">
      <c r="B100" s="109"/>
      <c r="D100" s="181">
        <v>1255.4000000000001</v>
      </c>
      <c r="E100" s="4" t="s">
        <v>248</v>
      </c>
      <c r="L100" s="110"/>
    </row>
    <row r="101" spans="2:12" ht="12.5">
      <c r="B101" s="109"/>
      <c r="D101" s="4" t="s">
        <v>905</v>
      </c>
      <c r="L101" s="110"/>
    </row>
    <row r="102" spans="2:12" ht="12.5">
      <c r="B102" s="109"/>
      <c r="L102" s="110"/>
    </row>
    <row r="103" spans="2:12" ht="12.5">
      <c r="B103" s="109"/>
      <c r="D103" s="4" t="s">
        <v>488</v>
      </c>
      <c r="E103" s="184">
        <f>K111-K114</f>
        <v>90100</v>
      </c>
      <c r="H103" s="4" t="s">
        <v>778</v>
      </c>
      <c r="I103" s="184">
        <f>K148</f>
        <v>120000</v>
      </c>
      <c r="J103" s="4" t="s">
        <v>287</v>
      </c>
      <c r="L103" s="110"/>
    </row>
    <row r="104" spans="2:12" ht="13">
      <c r="B104" s="109"/>
      <c r="D104" s="4" t="s">
        <v>258</v>
      </c>
      <c r="E104" s="34">
        <f>E103/2550000</f>
        <v>3.5333333333333335E-2</v>
      </c>
      <c r="I104" s="423">
        <v>5040000.1607857002</v>
      </c>
      <c r="J104" s="4" t="s">
        <v>171</v>
      </c>
      <c r="L104" s="110"/>
    </row>
    <row r="105" spans="2:12" ht="12.5">
      <c r="B105" s="109"/>
      <c r="H105" s="4" t="s">
        <v>258</v>
      </c>
      <c r="I105" s="34">
        <f>I104/D95</f>
        <v>0.13022850502008262</v>
      </c>
      <c r="L105" s="110"/>
    </row>
    <row r="106" spans="2:12" ht="12.5">
      <c r="B106" s="109"/>
      <c r="L106" s="110"/>
    </row>
    <row r="107" spans="2:12" ht="12.5">
      <c r="B107" s="109"/>
      <c r="L107" s="110"/>
    </row>
    <row r="108" spans="2:12" ht="12.5">
      <c r="B108" s="109"/>
      <c r="D108" s="1056"/>
      <c r="E108" s="1000"/>
      <c r="F108" s="714"/>
      <c r="G108" s="715">
        <v>2011</v>
      </c>
      <c r="H108" s="714"/>
      <c r="I108" s="715">
        <v>2012</v>
      </c>
      <c r="J108" s="714"/>
      <c r="K108" s="715" t="s">
        <v>835</v>
      </c>
      <c r="L108" s="716"/>
    </row>
    <row r="109" spans="2:12" ht="12.5">
      <c r="B109" s="109"/>
      <c r="D109" s="1013"/>
      <c r="E109" s="996"/>
      <c r="F109" s="996"/>
      <c r="G109" s="996"/>
      <c r="H109" s="996"/>
      <c r="I109" s="996"/>
      <c r="J109" s="996"/>
      <c r="K109" s="996"/>
      <c r="L109" s="998"/>
    </row>
    <row r="110" spans="2:12" ht="13">
      <c r="B110" s="109"/>
      <c r="D110" s="1047" t="s">
        <v>871</v>
      </c>
      <c r="E110" s="996"/>
      <c r="F110" s="721"/>
      <c r="G110" s="721"/>
      <c r="H110" s="721"/>
      <c r="I110" s="721"/>
      <c r="J110" s="721"/>
      <c r="K110" s="721"/>
      <c r="L110" s="723" t="s">
        <v>125</v>
      </c>
    </row>
    <row r="111" spans="2:12" ht="12.5">
      <c r="B111" s="109"/>
      <c r="D111" s="725"/>
      <c r="E111" s="726" t="s">
        <v>872</v>
      </c>
      <c r="F111" s="721"/>
      <c r="G111" s="727">
        <v>319660</v>
      </c>
      <c r="H111" s="721"/>
      <c r="I111" s="727">
        <v>74075</v>
      </c>
      <c r="J111" s="721"/>
      <c r="K111" s="727">
        <v>393735</v>
      </c>
      <c r="L111" s="723">
        <v>1</v>
      </c>
    </row>
    <row r="112" spans="2:12" ht="12.5">
      <c r="B112" s="109"/>
      <c r="D112" s="725"/>
      <c r="E112" s="726" t="s">
        <v>873</v>
      </c>
      <c r="F112" s="721"/>
      <c r="G112" s="728">
        <v>621.24</v>
      </c>
      <c r="H112" s="721"/>
      <c r="I112" s="728">
        <v>674.44</v>
      </c>
      <c r="J112" s="721"/>
      <c r="K112" s="728">
        <v>631.45000000000005</v>
      </c>
      <c r="L112" s="730"/>
    </row>
    <row r="113" spans="2:12" ht="12.5">
      <c r="B113" s="109"/>
      <c r="D113" s="1013"/>
      <c r="E113" s="996"/>
      <c r="F113" s="996"/>
      <c r="G113" s="996"/>
      <c r="H113" s="996"/>
      <c r="I113" s="996"/>
      <c r="J113" s="996"/>
      <c r="K113" s="996"/>
      <c r="L113" s="998"/>
    </row>
    <row r="114" spans="2:12" ht="12.5">
      <c r="B114" s="109"/>
      <c r="D114" s="725"/>
      <c r="E114" s="726" t="s">
        <v>874</v>
      </c>
      <c r="F114" s="721"/>
      <c r="G114" s="727">
        <v>265940</v>
      </c>
      <c r="H114" s="721"/>
      <c r="I114" s="727">
        <v>37695</v>
      </c>
      <c r="J114" s="721"/>
      <c r="K114" s="727">
        <v>303635</v>
      </c>
      <c r="L114" s="723">
        <v>-1</v>
      </c>
    </row>
    <row r="115" spans="2:12" ht="12.5">
      <c r="B115" s="109"/>
      <c r="D115" s="725"/>
      <c r="E115" s="726" t="s">
        <v>873</v>
      </c>
      <c r="F115" s="721"/>
      <c r="G115" s="732">
        <v>1169.24</v>
      </c>
      <c r="H115" s="721"/>
      <c r="I115" s="732">
        <v>1399.85</v>
      </c>
      <c r="J115" s="721"/>
      <c r="K115" s="732">
        <v>1197.8699999999999</v>
      </c>
      <c r="L115" s="730"/>
    </row>
    <row r="116" spans="2:12" ht="12.5">
      <c r="B116" s="109"/>
      <c r="D116" s="1013"/>
      <c r="E116" s="996"/>
      <c r="F116" s="996"/>
      <c r="G116" s="996"/>
      <c r="H116" s="996"/>
      <c r="I116" s="996"/>
      <c r="J116" s="996"/>
      <c r="K116" s="996"/>
      <c r="L116" s="998"/>
    </row>
    <row r="117" spans="2:12" ht="12.5">
      <c r="B117" s="109"/>
      <c r="D117" s="733"/>
      <c r="E117" s="734" t="s">
        <v>878</v>
      </c>
      <c r="F117" s="735"/>
      <c r="G117" s="737">
        <v>3600</v>
      </c>
      <c r="H117" s="735"/>
      <c r="I117" s="739" t="s">
        <v>920</v>
      </c>
      <c r="J117" s="735"/>
      <c r="K117" s="737">
        <v>3600</v>
      </c>
      <c r="L117" s="743"/>
    </row>
    <row r="118" spans="2:12" ht="12.5">
      <c r="B118" s="109"/>
      <c r="D118" s="733"/>
      <c r="E118" s="734" t="s">
        <v>873</v>
      </c>
      <c r="F118" s="735"/>
      <c r="G118" s="739">
        <v>10.71</v>
      </c>
      <c r="H118" s="735"/>
      <c r="I118" s="739" t="s">
        <v>920</v>
      </c>
      <c r="J118" s="735"/>
      <c r="K118" s="739">
        <v>10.71</v>
      </c>
      <c r="L118" s="743"/>
    </row>
    <row r="119" spans="2:12" ht="12.5">
      <c r="B119" s="109"/>
      <c r="D119" s="1049"/>
      <c r="E119" s="996"/>
      <c r="F119" s="996"/>
      <c r="G119" s="996"/>
      <c r="H119" s="996"/>
      <c r="I119" s="996"/>
      <c r="J119" s="996"/>
      <c r="K119" s="996"/>
      <c r="L119" s="998"/>
    </row>
    <row r="120" spans="2:12" ht="12.5">
      <c r="B120" s="109"/>
      <c r="D120" s="733"/>
      <c r="E120" s="734" t="s">
        <v>883</v>
      </c>
      <c r="F120" s="735"/>
      <c r="G120" s="737">
        <v>2806</v>
      </c>
      <c r="H120" s="735"/>
      <c r="I120" s="739" t="s">
        <v>920</v>
      </c>
      <c r="J120" s="735"/>
      <c r="K120" s="737">
        <v>2806</v>
      </c>
      <c r="L120" s="743"/>
    </row>
    <row r="121" spans="2:12" ht="12.5">
      <c r="B121" s="109"/>
      <c r="D121" s="733"/>
      <c r="E121" s="734" t="s">
        <v>873</v>
      </c>
      <c r="F121" s="735"/>
      <c r="G121" s="739">
        <v>13</v>
      </c>
      <c r="H121" s="735"/>
      <c r="I121" s="739" t="s">
        <v>920</v>
      </c>
      <c r="J121" s="735"/>
      <c r="K121" s="739">
        <v>13</v>
      </c>
      <c r="L121" s="743"/>
    </row>
    <row r="122" spans="2:12" ht="12.5">
      <c r="B122" s="109"/>
      <c r="D122" s="1049"/>
      <c r="E122" s="996"/>
      <c r="F122" s="996"/>
      <c r="G122" s="996"/>
      <c r="H122" s="996"/>
      <c r="I122" s="996"/>
      <c r="J122" s="996"/>
      <c r="K122" s="996"/>
      <c r="L122" s="998"/>
    </row>
    <row r="123" spans="2:12" ht="12.5">
      <c r="B123" s="109"/>
      <c r="D123" s="733"/>
      <c r="E123" s="734" t="s">
        <v>885</v>
      </c>
      <c r="F123" s="735"/>
      <c r="G123" s="737">
        <v>2806</v>
      </c>
      <c r="H123" s="735"/>
      <c r="I123" s="739" t="s">
        <v>920</v>
      </c>
      <c r="J123" s="735"/>
      <c r="K123" s="737">
        <v>2806</v>
      </c>
      <c r="L123" s="743"/>
    </row>
    <row r="124" spans="2:12" ht="12.5">
      <c r="B124" s="109"/>
      <c r="D124" s="733"/>
      <c r="E124" s="734" t="s">
        <v>873</v>
      </c>
      <c r="F124" s="735"/>
      <c r="G124" s="739">
        <v>17.29</v>
      </c>
      <c r="H124" s="735"/>
      <c r="I124" s="739" t="s">
        <v>920</v>
      </c>
      <c r="J124" s="735"/>
      <c r="K124" s="739">
        <v>17.29</v>
      </c>
      <c r="L124" s="743"/>
    </row>
    <row r="125" spans="2:12" ht="12.5">
      <c r="B125" s="109"/>
      <c r="D125" s="1049"/>
      <c r="E125" s="996"/>
      <c r="F125" s="996"/>
      <c r="G125" s="996"/>
      <c r="H125" s="996"/>
      <c r="I125" s="996"/>
      <c r="J125" s="996"/>
      <c r="K125" s="996"/>
      <c r="L125" s="998"/>
    </row>
    <row r="126" spans="2:12" ht="13">
      <c r="B126" s="109"/>
      <c r="D126" s="1047" t="s">
        <v>886</v>
      </c>
      <c r="E126" s="996"/>
      <c r="F126" s="721"/>
      <c r="G126" s="721"/>
      <c r="H126" s="721"/>
      <c r="I126" s="721"/>
      <c r="J126" s="721"/>
      <c r="K126" s="721"/>
      <c r="L126" s="730"/>
    </row>
    <row r="127" spans="2:12" ht="12.5">
      <c r="B127" s="109"/>
      <c r="D127" s="725"/>
      <c r="E127" s="726" t="s">
        <v>926</v>
      </c>
      <c r="F127" s="721"/>
      <c r="G127" s="721"/>
      <c r="H127" s="721"/>
      <c r="I127" s="721"/>
      <c r="J127" s="721"/>
      <c r="K127" s="721"/>
      <c r="L127" s="730"/>
    </row>
    <row r="128" spans="2:12" ht="12.5">
      <c r="B128" s="109"/>
      <c r="D128" s="725"/>
      <c r="E128" s="726" t="s">
        <v>927</v>
      </c>
      <c r="F128" s="721"/>
      <c r="G128" s="728">
        <v>350</v>
      </c>
      <c r="H128" s="721"/>
      <c r="I128" s="728">
        <v>56</v>
      </c>
      <c r="J128" s="721"/>
      <c r="K128" s="728">
        <v>406</v>
      </c>
      <c r="L128" s="730"/>
    </row>
    <row r="129" spans="2:12" ht="12.5">
      <c r="B129" s="109"/>
      <c r="D129" s="725"/>
      <c r="E129" s="726" t="s">
        <v>873</v>
      </c>
      <c r="F129" s="721"/>
      <c r="G129" s="728">
        <v>1.91</v>
      </c>
      <c r="H129" s="721"/>
      <c r="I129" s="728">
        <v>2</v>
      </c>
      <c r="J129" s="721"/>
      <c r="K129" s="728">
        <v>1.93</v>
      </c>
      <c r="L129" s="730"/>
    </row>
    <row r="130" spans="2:12" ht="12.5">
      <c r="B130" s="109"/>
      <c r="D130" s="1013"/>
      <c r="E130" s="996"/>
      <c r="F130" s="996"/>
      <c r="G130" s="996"/>
      <c r="H130" s="996"/>
      <c r="I130" s="996"/>
      <c r="J130" s="996"/>
      <c r="K130" s="996"/>
      <c r="L130" s="998"/>
    </row>
    <row r="131" spans="2:12" ht="12.5">
      <c r="B131" s="109"/>
      <c r="D131" s="725"/>
      <c r="E131" s="726" t="s">
        <v>929</v>
      </c>
      <c r="F131" s="721"/>
      <c r="G131" s="721"/>
      <c r="H131" s="721"/>
      <c r="I131" s="721"/>
      <c r="J131" s="721"/>
      <c r="K131" s="721"/>
      <c r="L131" s="730"/>
    </row>
    <row r="132" spans="2:12" ht="12.5">
      <c r="B132" s="109"/>
      <c r="D132" s="725"/>
      <c r="E132" s="726" t="s">
        <v>927</v>
      </c>
      <c r="F132" s="721"/>
      <c r="G132" s="728">
        <v>172</v>
      </c>
      <c r="H132" s="721"/>
      <c r="I132" s="728" t="s">
        <v>920</v>
      </c>
      <c r="J132" s="721"/>
      <c r="K132" s="728">
        <v>172</v>
      </c>
      <c r="L132" s="730"/>
    </row>
    <row r="133" spans="2:12" ht="12.5">
      <c r="B133" s="109"/>
      <c r="D133" s="725"/>
      <c r="E133" s="726" t="s">
        <v>873</v>
      </c>
      <c r="F133" s="721"/>
      <c r="G133" s="728">
        <v>511.22</v>
      </c>
      <c r="H133" s="721"/>
      <c r="I133" s="728" t="s">
        <v>920</v>
      </c>
      <c r="J133" s="721"/>
      <c r="K133" s="728">
        <v>511.22</v>
      </c>
      <c r="L133" s="730"/>
    </row>
    <row r="134" spans="2:12" ht="12.5">
      <c r="B134" s="109"/>
      <c r="D134" s="1013"/>
      <c r="E134" s="996"/>
      <c r="F134" s="996"/>
      <c r="G134" s="996"/>
      <c r="H134" s="996"/>
      <c r="I134" s="996"/>
      <c r="J134" s="996"/>
      <c r="K134" s="996"/>
      <c r="L134" s="998"/>
    </row>
    <row r="135" spans="2:12" ht="12.5">
      <c r="B135" s="109"/>
      <c r="D135" s="725"/>
      <c r="E135" s="726" t="s">
        <v>930</v>
      </c>
      <c r="F135" s="721"/>
      <c r="G135" s="721"/>
      <c r="H135" s="721"/>
      <c r="I135" s="721"/>
      <c r="J135" s="721"/>
      <c r="K135" s="721"/>
      <c r="L135" s="730"/>
    </row>
    <row r="136" spans="2:12" ht="12.5">
      <c r="B136" s="109"/>
      <c r="D136" s="725"/>
      <c r="E136" s="726" t="s">
        <v>927</v>
      </c>
      <c r="F136" s="721"/>
      <c r="G136" s="728">
        <v>97</v>
      </c>
      <c r="H136" s="721"/>
      <c r="I136" s="728">
        <v>48</v>
      </c>
      <c r="J136" s="721"/>
      <c r="K136" s="728">
        <v>145</v>
      </c>
      <c r="L136" s="730"/>
    </row>
    <row r="137" spans="2:12" ht="12.5">
      <c r="B137" s="109"/>
      <c r="D137" s="725"/>
      <c r="E137" s="726" t="s">
        <v>873</v>
      </c>
      <c r="F137" s="721"/>
      <c r="G137" s="728">
        <v>32</v>
      </c>
      <c r="H137" s="721"/>
      <c r="I137" s="728">
        <v>33.1</v>
      </c>
      <c r="J137" s="721"/>
      <c r="K137" s="728">
        <v>32.36</v>
      </c>
      <c r="L137" s="730"/>
    </row>
    <row r="138" spans="2:12" ht="12.5">
      <c r="B138" s="109"/>
      <c r="D138" s="1013"/>
      <c r="E138" s="996"/>
      <c r="F138" s="996"/>
      <c r="G138" s="996"/>
      <c r="H138" s="996"/>
      <c r="I138" s="996"/>
      <c r="J138" s="996"/>
      <c r="K138" s="996"/>
      <c r="L138" s="998"/>
    </row>
    <row r="139" spans="2:12" ht="12.5">
      <c r="B139" s="109"/>
      <c r="D139" s="725"/>
      <c r="E139" s="726" t="s">
        <v>932</v>
      </c>
      <c r="F139" s="721"/>
      <c r="G139" s="721"/>
      <c r="H139" s="721"/>
      <c r="I139" s="721"/>
      <c r="J139" s="721"/>
      <c r="K139" s="721"/>
      <c r="L139" s="730"/>
    </row>
    <row r="140" spans="2:12" ht="12.5">
      <c r="B140" s="109"/>
      <c r="D140" s="725"/>
      <c r="E140" s="726" t="s">
        <v>927</v>
      </c>
      <c r="F140" s="721"/>
      <c r="G140" s="728">
        <v>84</v>
      </c>
      <c r="H140" s="721"/>
      <c r="I140" s="728" t="s">
        <v>920</v>
      </c>
      <c r="J140" s="721"/>
      <c r="K140" s="728">
        <v>84</v>
      </c>
      <c r="L140" s="730"/>
    </row>
    <row r="141" spans="2:12" ht="12.5">
      <c r="B141" s="109"/>
      <c r="D141" s="725"/>
      <c r="E141" s="726" t="s">
        <v>873</v>
      </c>
      <c r="F141" s="721"/>
      <c r="G141" s="728">
        <v>1.05</v>
      </c>
      <c r="H141" s="721"/>
      <c r="I141" s="728" t="s">
        <v>920</v>
      </c>
      <c r="J141" s="721"/>
      <c r="K141" s="728">
        <v>1.05</v>
      </c>
      <c r="L141" s="730"/>
    </row>
    <row r="142" spans="2:12" ht="12.5">
      <c r="B142" s="109"/>
      <c r="D142" s="1013"/>
      <c r="E142" s="996"/>
      <c r="F142" s="996"/>
      <c r="G142" s="996"/>
      <c r="H142" s="996"/>
      <c r="I142" s="996"/>
      <c r="J142" s="996"/>
      <c r="K142" s="996"/>
      <c r="L142" s="998"/>
    </row>
    <row r="143" spans="2:12" ht="12.5">
      <c r="B143" s="109"/>
      <c r="D143" s="725"/>
      <c r="E143" s="726" t="s">
        <v>934</v>
      </c>
      <c r="F143" s="721"/>
      <c r="G143" s="721"/>
      <c r="H143" s="721"/>
      <c r="I143" s="721"/>
      <c r="J143" s="721"/>
      <c r="K143" s="721"/>
      <c r="L143" s="730"/>
    </row>
    <row r="144" spans="2:12" ht="12.5">
      <c r="B144" s="109"/>
      <c r="D144" s="725"/>
      <c r="E144" s="726" t="s">
        <v>927</v>
      </c>
      <c r="F144" s="721"/>
      <c r="G144" s="728">
        <v>8.6999999999999993</v>
      </c>
      <c r="H144" s="721"/>
      <c r="I144" s="728" t="s">
        <v>920</v>
      </c>
      <c r="J144" s="721"/>
      <c r="K144" s="728">
        <v>8.6999999999999993</v>
      </c>
      <c r="L144" s="730"/>
    </row>
    <row r="145" spans="2:16" ht="12.5">
      <c r="B145" s="109"/>
      <c r="D145" s="725"/>
      <c r="E145" s="726" t="s">
        <v>873</v>
      </c>
      <c r="F145" s="721"/>
      <c r="G145" s="728">
        <v>0.78</v>
      </c>
      <c r="H145" s="721"/>
      <c r="I145" s="728" t="s">
        <v>920</v>
      </c>
      <c r="J145" s="721"/>
      <c r="K145" s="728">
        <v>0.78</v>
      </c>
      <c r="L145" s="730"/>
    </row>
    <row r="146" spans="2:16" ht="12.5">
      <c r="B146" s="109"/>
      <c r="D146" s="1013"/>
      <c r="E146" s="996"/>
      <c r="F146" s="996"/>
      <c r="G146" s="996"/>
      <c r="H146" s="996"/>
      <c r="I146" s="996"/>
      <c r="J146" s="996"/>
      <c r="K146" s="996"/>
      <c r="L146" s="998"/>
    </row>
    <row r="147" spans="2:16" ht="13">
      <c r="B147" s="109"/>
      <c r="D147" s="1047" t="s">
        <v>893</v>
      </c>
      <c r="E147" s="996"/>
      <c r="F147" s="721"/>
      <c r="G147" s="721"/>
      <c r="H147" s="721"/>
      <c r="I147" s="721"/>
      <c r="J147" s="721"/>
      <c r="K147" s="721"/>
      <c r="L147" s="730"/>
    </row>
    <row r="148" spans="2:16" ht="12.5">
      <c r="B148" s="109"/>
      <c r="D148" s="725"/>
      <c r="E148" s="726" t="s">
        <v>894</v>
      </c>
      <c r="F148" s="721"/>
      <c r="G148" s="727">
        <v>120000</v>
      </c>
      <c r="H148" s="721"/>
      <c r="I148" s="728" t="s">
        <v>920</v>
      </c>
      <c r="J148" s="721"/>
      <c r="K148" s="727">
        <v>120000</v>
      </c>
      <c r="L148" s="730"/>
    </row>
    <row r="149" spans="2:16" ht="12.5">
      <c r="B149" s="113"/>
      <c r="C149" s="114"/>
      <c r="D149" s="746"/>
      <c r="E149" s="747" t="s">
        <v>873</v>
      </c>
      <c r="F149" s="114"/>
      <c r="G149" s="114"/>
      <c r="H149" s="114"/>
      <c r="I149" s="114"/>
      <c r="J149" s="114"/>
      <c r="K149" s="114"/>
      <c r="L149" s="115"/>
    </row>
    <row r="152" spans="2:16" ht="15.5">
      <c r="B152" s="396">
        <v>2011</v>
      </c>
      <c r="C152" s="107"/>
      <c r="D152" s="106" t="s">
        <v>937</v>
      </c>
      <c r="E152" s="107"/>
      <c r="F152" s="107"/>
      <c r="G152" s="107"/>
      <c r="H152" s="107"/>
      <c r="I152" s="107"/>
      <c r="J152" s="107"/>
      <c r="K152" s="107"/>
      <c r="L152" s="107"/>
      <c r="M152" s="107"/>
      <c r="N152" s="107"/>
      <c r="O152" s="107"/>
      <c r="P152" s="108"/>
    </row>
    <row r="153" spans="2:16" ht="12.5">
      <c r="B153" s="109"/>
      <c r="D153" s="181">
        <v>1596.4</v>
      </c>
      <c r="E153" s="4" t="s">
        <v>298</v>
      </c>
      <c r="P153" s="110"/>
    </row>
    <row r="154" spans="2:16" ht="12.5">
      <c r="B154" s="109"/>
      <c r="D154" s="4" t="s">
        <v>938</v>
      </c>
      <c r="P154" s="110"/>
    </row>
    <row r="155" spans="2:16" ht="12.5">
      <c r="B155" s="109"/>
      <c r="P155" s="110"/>
    </row>
    <row r="156" spans="2:16" ht="12.5">
      <c r="B156" s="109"/>
      <c r="D156" s="155">
        <v>12146000</v>
      </c>
      <c r="E156" s="4" t="s">
        <v>940</v>
      </c>
      <c r="P156" s="110"/>
    </row>
    <row r="157" spans="2:16" ht="14">
      <c r="B157" s="109"/>
      <c r="D157" s="4">
        <v>35.119999999999997</v>
      </c>
      <c r="E157" s="4" t="s">
        <v>163</v>
      </c>
      <c r="J157" s="4" t="s">
        <v>492</v>
      </c>
      <c r="K157" s="748">
        <v>26508858.602945998</v>
      </c>
      <c r="P157" s="110"/>
    </row>
    <row r="158" spans="2:16" ht="12.5">
      <c r="B158" s="109"/>
      <c r="D158" s="184">
        <f>D157*D156</f>
        <v>426567519.99999994</v>
      </c>
      <c r="E158" s="4" t="s">
        <v>941</v>
      </c>
      <c r="K158" s="34">
        <f>K157/F178</f>
        <v>0.40527845342046087</v>
      </c>
      <c r="P158" s="110"/>
    </row>
    <row r="159" spans="2:16" ht="12.5">
      <c r="B159" s="109"/>
      <c r="D159" s="181">
        <v>3943300000</v>
      </c>
      <c r="E159" s="4" t="s">
        <v>267</v>
      </c>
      <c r="H159" s="54" t="s">
        <v>728</v>
      </c>
      <c r="P159" s="110"/>
    </row>
    <row r="160" spans="2:16" ht="12.5">
      <c r="B160" s="109"/>
      <c r="D160" s="34">
        <f>D158/D159</f>
        <v>0.10817526437247989</v>
      </c>
      <c r="E160" s="4" t="s">
        <v>254</v>
      </c>
      <c r="P160" s="110"/>
    </row>
    <row r="161" spans="2:16" ht="12.5">
      <c r="B161" s="109"/>
      <c r="P161" s="110"/>
    </row>
    <row r="162" spans="2:16" ht="12.5">
      <c r="B162" s="109"/>
      <c r="P162" s="110"/>
    </row>
    <row r="163" spans="2:16" ht="13">
      <c r="B163" s="109"/>
      <c r="C163" s="1055" t="s">
        <v>893</v>
      </c>
      <c r="D163" s="996"/>
      <c r="E163" s="754"/>
      <c r="F163" s="754"/>
      <c r="G163" s="754"/>
      <c r="H163" s="754"/>
      <c r="I163" s="754"/>
      <c r="J163" s="754"/>
      <c r="K163" s="754"/>
      <c r="L163" s="754"/>
      <c r="M163" s="756" t="s">
        <v>154</v>
      </c>
      <c r="P163" s="110"/>
    </row>
    <row r="164" spans="2:16" ht="13">
      <c r="B164" s="109"/>
      <c r="C164" s="754"/>
      <c r="D164" s="756" t="s">
        <v>894</v>
      </c>
      <c r="E164" s="754"/>
      <c r="F164" s="758">
        <v>290000</v>
      </c>
      <c r="G164" s="754"/>
      <c r="H164" s="758">
        <v>115000</v>
      </c>
      <c r="I164" s="754"/>
      <c r="J164" s="758">
        <v>45000</v>
      </c>
      <c r="K164" s="754"/>
      <c r="L164" s="758">
        <v>450000</v>
      </c>
      <c r="M164" s="423">
        <v>18900000.602945998</v>
      </c>
      <c r="P164" s="110"/>
    </row>
    <row r="165" spans="2:16" ht="12.5">
      <c r="B165" s="109"/>
      <c r="C165" s="754"/>
      <c r="D165" s="756" t="s">
        <v>873</v>
      </c>
      <c r="E165" s="754"/>
      <c r="F165" s="761">
        <v>92.21</v>
      </c>
      <c r="G165" s="754"/>
      <c r="H165" s="761">
        <v>91.22</v>
      </c>
      <c r="I165" s="754"/>
      <c r="J165" s="761">
        <v>83.04</v>
      </c>
      <c r="K165" s="754"/>
      <c r="L165" s="761">
        <v>91.04</v>
      </c>
      <c r="M165" s="754"/>
      <c r="P165" s="110"/>
    </row>
    <row r="166" spans="2:16" ht="12.5">
      <c r="B166" s="109"/>
      <c r="C166" s="754"/>
      <c r="D166" s="756" t="s">
        <v>949</v>
      </c>
      <c r="E166" s="754"/>
      <c r="F166" s="758">
        <v>4830000</v>
      </c>
      <c r="G166" s="754"/>
      <c r="H166" s="758">
        <v>2310000</v>
      </c>
      <c r="I166" s="754"/>
      <c r="J166" s="761" t="s">
        <v>920</v>
      </c>
      <c r="K166" s="754"/>
      <c r="L166" s="758">
        <v>7140000</v>
      </c>
      <c r="M166" s="763">
        <f>L166</f>
        <v>7140000</v>
      </c>
      <c r="P166" s="110"/>
    </row>
    <row r="167" spans="2:16" ht="12.5">
      <c r="B167" s="109"/>
      <c r="C167" s="754"/>
      <c r="D167" s="756" t="s">
        <v>873</v>
      </c>
      <c r="E167" s="754"/>
      <c r="F167" s="761">
        <v>2.96</v>
      </c>
      <c r="G167" s="754"/>
      <c r="H167" s="761">
        <v>2.93</v>
      </c>
      <c r="I167" s="754"/>
      <c r="J167" s="761" t="s">
        <v>920</v>
      </c>
      <c r="K167" s="754"/>
      <c r="L167" s="761">
        <v>2.95</v>
      </c>
      <c r="M167" s="754"/>
      <c r="P167" s="110"/>
    </row>
    <row r="168" spans="2:16" ht="12.5">
      <c r="B168" s="109"/>
      <c r="C168" s="754"/>
      <c r="D168" s="756" t="s">
        <v>951</v>
      </c>
      <c r="E168" s="754"/>
      <c r="F168" s="758">
        <v>14765</v>
      </c>
      <c r="G168" s="754"/>
      <c r="H168" s="761" t="s">
        <v>920</v>
      </c>
      <c r="I168" s="754"/>
      <c r="J168" s="761" t="s">
        <v>920</v>
      </c>
      <c r="K168" s="754"/>
      <c r="L168" s="758">
        <v>14765</v>
      </c>
      <c r="M168" s="756">
        <v>468858</v>
      </c>
      <c r="P168" s="110"/>
    </row>
    <row r="169" spans="2:16" ht="12.5">
      <c r="B169" s="109"/>
      <c r="C169" s="754"/>
      <c r="D169" s="756" t="s">
        <v>873</v>
      </c>
      <c r="E169" s="754"/>
      <c r="F169" s="761">
        <v>933.26</v>
      </c>
      <c r="G169" s="754"/>
      <c r="H169" s="761" t="s">
        <v>920</v>
      </c>
      <c r="I169" s="754"/>
      <c r="J169" s="761" t="s">
        <v>920</v>
      </c>
      <c r="K169" s="754"/>
      <c r="L169" s="761">
        <v>933.26</v>
      </c>
      <c r="M169" s="754"/>
      <c r="P169" s="110"/>
    </row>
    <row r="170" spans="2:16" ht="12.5">
      <c r="B170" s="109"/>
      <c r="M170" s="184">
        <f>M168+M166+M164</f>
        <v>26508858.602945998</v>
      </c>
      <c r="P170" s="110"/>
    </row>
    <row r="171" spans="2:16" ht="14">
      <c r="B171" s="109"/>
      <c r="L171" s="357"/>
      <c r="P171" s="110"/>
    </row>
    <row r="172" spans="2:16" ht="12.5">
      <c r="B172" s="109"/>
      <c r="P172" s="110"/>
    </row>
    <row r="173" spans="2:16" ht="12.5">
      <c r="B173" s="109"/>
      <c r="P173" s="110"/>
    </row>
    <row r="174" spans="2:16" ht="12.5">
      <c r="B174" s="109"/>
      <c r="D174" s="4" t="s">
        <v>953</v>
      </c>
      <c r="P174" s="110"/>
    </row>
    <row r="175" spans="2:16" ht="12.5">
      <c r="B175" s="109"/>
      <c r="P175" s="110"/>
    </row>
    <row r="176" spans="2:16" ht="12.5">
      <c r="B176" s="109"/>
      <c r="D176" s="4" t="s">
        <v>274</v>
      </c>
      <c r="E176" s="4" t="s">
        <v>424</v>
      </c>
      <c r="F176" s="4" t="s">
        <v>285</v>
      </c>
      <c r="P176" s="110"/>
    </row>
    <row r="177" spans="2:16" ht="12.5">
      <c r="B177" s="109"/>
      <c r="C177" s="4" t="s">
        <v>828</v>
      </c>
      <c r="D177" s="155">
        <v>237600</v>
      </c>
      <c r="E177" s="155">
        <v>10000</v>
      </c>
      <c r="P177" s="110"/>
    </row>
    <row r="178" spans="2:16" ht="12.5">
      <c r="B178" s="109"/>
      <c r="C178" s="4" t="s">
        <v>171</v>
      </c>
      <c r="D178" s="4">
        <v>62767279.600000001</v>
      </c>
      <c r="E178" s="4">
        <v>2641721</v>
      </c>
      <c r="F178" s="185">
        <f>E178+D178</f>
        <v>65409000.600000001</v>
      </c>
      <c r="P178" s="110"/>
    </row>
    <row r="179" spans="2:16" ht="15.5">
      <c r="B179" s="109"/>
      <c r="C179" s="4" t="s">
        <v>163</v>
      </c>
      <c r="D179" s="14">
        <v>3.84</v>
      </c>
      <c r="E179" s="95">
        <v>2.95</v>
      </c>
      <c r="P179" s="110"/>
    </row>
    <row r="180" spans="2:16" ht="12.5">
      <c r="B180" s="109"/>
      <c r="C180" s="4" t="s">
        <v>164</v>
      </c>
      <c r="D180">
        <f>D178*D179</f>
        <v>241026353.664</v>
      </c>
      <c r="E180" s="183">
        <f>E179*E178</f>
        <v>7793076.9500000002</v>
      </c>
      <c r="F180" s="307">
        <f>D180+E180</f>
        <v>248819430.61399999</v>
      </c>
      <c r="P180" s="110"/>
    </row>
    <row r="181" spans="2:16" ht="12.5">
      <c r="B181" s="109"/>
      <c r="P181" s="110"/>
    </row>
    <row r="182" spans="2:16" ht="12.5">
      <c r="B182" s="113"/>
      <c r="C182" s="114"/>
      <c r="D182" s="114"/>
      <c r="E182" s="114"/>
      <c r="F182" s="114"/>
      <c r="G182" s="114"/>
      <c r="H182" s="114"/>
      <c r="I182" s="114"/>
      <c r="J182" s="114"/>
      <c r="K182" s="114"/>
      <c r="L182" s="114"/>
      <c r="M182" s="114"/>
      <c r="N182" s="114"/>
      <c r="O182" s="114"/>
      <c r="P182" s="115"/>
    </row>
    <row r="185" spans="2:16" ht="12.5">
      <c r="B185" s="139"/>
      <c r="C185" s="107"/>
      <c r="D185" s="107"/>
      <c r="E185" s="107"/>
      <c r="F185" s="107"/>
      <c r="G185" s="107"/>
      <c r="H185" s="107"/>
      <c r="I185" s="107"/>
      <c r="J185" s="107"/>
      <c r="K185" s="107"/>
      <c r="L185" s="107"/>
      <c r="M185" s="108"/>
    </row>
    <row r="186" spans="2:16" ht="12.5">
      <c r="B186" s="71">
        <v>2012</v>
      </c>
      <c r="D186" s="4" t="s">
        <v>956</v>
      </c>
      <c r="I186" s="181">
        <v>4311400000</v>
      </c>
      <c r="J186" s="4" t="s">
        <v>957</v>
      </c>
      <c r="M186" s="110"/>
    </row>
    <row r="187" spans="2:16" ht="12.5">
      <c r="B187" s="109"/>
      <c r="D187" s="181">
        <v>1850.8</v>
      </c>
      <c r="E187" s="4" t="s">
        <v>248</v>
      </c>
      <c r="I187" s="155">
        <v>10717000</v>
      </c>
      <c r="J187" s="4" t="s">
        <v>958</v>
      </c>
      <c r="M187" s="110"/>
    </row>
    <row r="188" spans="2:16" ht="13">
      <c r="B188" s="109"/>
      <c r="D188" s="4" t="s">
        <v>959</v>
      </c>
      <c r="I188" s="764">
        <v>31.15</v>
      </c>
      <c r="J188" s="4" t="s">
        <v>163</v>
      </c>
      <c r="M188" s="110"/>
    </row>
    <row r="189" spans="2:16" ht="12.5">
      <c r="B189" s="109"/>
      <c r="I189">
        <f>I187*I188</f>
        <v>333834550</v>
      </c>
      <c r="J189" s="4" t="s">
        <v>941</v>
      </c>
      <c r="M189" s="110"/>
    </row>
    <row r="190" spans="2:16" ht="12.5">
      <c r="B190" s="109"/>
      <c r="I190" s="34">
        <f>I189/I186</f>
        <v>7.7430660574291418E-2</v>
      </c>
      <c r="J190" s="4" t="s">
        <v>254</v>
      </c>
      <c r="M190" s="110"/>
    </row>
    <row r="191" spans="2:16" ht="12.5">
      <c r="B191" s="109"/>
      <c r="M191" s="233" t="s">
        <v>171</v>
      </c>
    </row>
    <row r="192" spans="2:16" ht="13">
      <c r="B192" s="109"/>
      <c r="D192" s="765" t="s">
        <v>893</v>
      </c>
      <c r="E192" s="424"/>
      <c r="F192" s="424"/>
      <c r="G192" s="424"/>
      <c r="H192" s="424"/>
      <c r="I192" s="424"/>
      <c r="J192" s="424"/>
      <c r="K192" s="424"/>
      <c r="L192" s="424"/>
      <c r="M192" s="766"/>
    </row>
    <row r="193" spans="2:13" ht="13">
      <c r="B193" s="109"/>
      <c r="D193" s="410" t="s">
        <v>894</v>
      </c>
      <c r="E193" s="767"/>
      <c r="F193" s="411">
        <v>290000</v>
      </c>
      <c r="G193" s="767"/>
      <c r="H193" s="411">
        <v>175000</v>
      </c>
      <c r="I193" s="767"/>
      <c r="J193" s="411">
        <v>100000</v>
      </c>
      <c r="K193" s="767"/>
      <c r="L193" s="411">
        <v>565000</v>
      </c>
      <c r="M193" s="768">
        <v>23730000.757033002</v>
      </c>
    </row>
    <row r="194" spans="2:13" ht="13">
      <c r="B194" s="109"/>
      <c r="D194" s="405" t="s">
        <v>873</v>
      </c>
      <c r="E194" s="424"/>
      <c r="F194" s="409">
        <v>92.52</v>
      </c>
      <c r="G194" s="424"/>
      <c r="H194" s="409">
        <v>88.78</v>
      </c>
      <c r="I194" s="424"/>
      <c r="J194" s="409">
        <v>86.64</v>
      </c>
      <c r="K194" s="424"/>
      <c r="L194" s="409">
        <v>90.32</v>
      </c>
      <c r="M194" s="766"/>
    </row>
    <row r="195" spans="2:13" ht="13">
      <c r="B195" s="109"/>
      <c r="D195" s="410" t="s">
        <v>949</v>
      </c>
      <c r="E195" s="767"/>
      <c r="F195" s="411">
        <v>4830000</v>
      </c>
      <c r="G195" s="767"/>
      <c r="H195" s="411">
        <v>2520000</v>
      </c>
      <c r="I195" s="767"/>
      <c r="J195" s="412" t="s">
        <v>933</v>
      </c>
      <c r="K195" s="767"/>
      <c r="L195" s="411">
        <v>7350000</v>
      </c>
      <c r="M195" s="772">
        <f>L195</f>
        <v>7350000</v>
      </c>
    </row>
    <row r="196" spans="2:13" ht="13">
      <c r="B196" s="109"/>
      <c r="D196" s="405" t="s">
        <v>873</v>
      </c>
      <c r="E196" s="424"/>
      <c r="F196" s="409">
        <v>2.96</v>
      </c>
      <c r="G196" s="424"/>
      <c r="H196" s="409">
        <v>2.83</v>
      </c>
      <c r="I196" s="424"/>
      <c r="J196" s="409" t="s">
        <v>933</v>
      </c>
      <c r="K196" s="424"/>
      <c r="L196" s="409">
        <v>2.92</v>
      </c>
      <c r="M196" s="766"/>
    </row>
    <row r="197" spans="2:13" ht="13">
      <c r="B197" s="109"/>
      <c r="D197" s="410" t="s">
        <v>951</v>
      </c>
      <c r="E197" s="767"/>
      <c r="F197" s="411">
        <v>40260</v>
      </c>
      <c r="G197" s="767"/>
      <c r="H197" s="411">
        <v>16104</v>
      </c>
      <c r="I197" s="767"/>
      <c r="J197" s="412" t="s">
        <v>933</v>
      </c>
      <c r="K197" s="767"/>
      <c r="L197" s="411">
        <v>56364</v>
      </c>
      <c r="M197" s="775">
        <v>1789822</v>
      </c>
    </row>
    <row r="198" spans="2:13" ht="13">
      <c r="B198" s="109"/>
      <c r="D198" s="405" t="s">
        <v>873</v>
      </c>
      <c r="E198" s="424"/>
      <c r="F198" s="409">
        <v>906.3</v>
      </c>
      <c r="G198" s="424"/>
      <c r="H198" s="409">
        <v>864</v>
      </c>
      <c r="I198" s="424"/>
      <c r="J198" s="409" t="s">
        <v>933</v>
      </c>
      <c r="K198" s="424"/>
      <c r="L198" s="409">
        <v>894.21</v>
      </c>
      <c r="M198" s="766"/>
    </row>
    <row r="199" spans="2:13" ht="12.5">
      <c r="B199" s="109"/>
      <c r="M199" s="553">
        <f>M197+M195+M193</f>
        <v>32869822.757033002</v>
      </c>
    </row>
    <row r="200" spans="2:13" ht="12.5">
      <c r="B200" s="109"/>
      <c r="E200" s="4" t="s">
        <v>966</v>
      </c>
      <c r="F200" s="184">
        <f>M199</f>
        <v>32869822.757033002</v>
      </c>
      <c r="M200" s="110"/>
    </row>
    <row r="201" spans="2:13" ht="12.5">
      <c r="B201" s="109"/>
      <c r="F201" s="34">
        <f>F200/H205</f>
        <v>0.45577221388909656</v>
      </c>
      <c r="M201" s="110"/>
    </row>
    <row r="202" spans="2:13" ht="12.5">
      <c r="B202" s="109"/>
      <c r="M202" s="110"/>
    </row>
    <row r="203" spans="2:13" ht="12.5">
      <c r="B203" s="109"/>
      <c r="F203" s="4" t="s">
        <v>274</v>
      </c>
      <c r="G203" s="4" t="s">
        <v>424</v>
      </c>
      <c r="H203" s="4" t="s">
        <v>285</v>
      </c>
      <c r="M203" s="110"/>
    </row>
    <row r="204" spans="2:13" ht="12.5">
      <c r="B204" s="109"/>
      <c r="E204" s="4" t="s">
        <v>828</v>
      </c>
      <c r="F204" s="155">
        <v>261000</v>
      </c>
      <c r="G204" s="155">
        <v>12000</v>
      </c>
      <c r="M204" s="110"/>
    </row>
    <row r="205" spans="2:13" ht="12.5">
      <c r="B205" s="109"/>
      <c r="E205" s="4" t="s">
        <v>171</v>
      </c>
      <c r="F205" s="4">
        <v>68948905.700000003</v>
      </c>
      <c r="G205" s="4">
        <v>3170064.6</v>
      </c>
      <c r="H205" s="34">
        <f>G205+F205</f>
        <v>72118970.299999997</v>
      </c>
      <c r="M205" s="110"/>
    </row>
    <row r="206" spans="2:13" ht="15.5">
      <c r="B206" s="109"/>
      <c r="E206" s="4" t="s">
        <v>163</v>
      </c>
      <c r="F206" s="14">
        <v>3.968</v>
      </c>
      <c r="G206" s="95">
        <v>3.02</v>
      </c>
      <c r="M206" s="110"/>
    </row>
    <row r="207" spans="2:13" ht="12.5">
      <c r="B207" s="113"/>
      <c r="C207" s="114"/>
      <c r="D207" s="114"/>
      <c r="E207" s="122" t="s">
        <v>164</v>
      </c>
      <c r="F207" s="114">
        <f t="shared" ref="F207:G207" si="5">F206*F205</f>
        <v>273589257.81760001</v>
      </c>
      <c r="G207" s="785">
        <f t="shared" si="5"/>
        <v>9573595.0920000002</v>
      </c>
      <c r="H207" s="787">
        <f>G207+F207</f>
        <v>283162852.90960002</v>
      </c>
      <c r="I207" s="114"/>
      <c r="J207" s="114"/>
      <c r="K207" s="114"/>
      <c r="L207" s="114"/>
      <c r="M207" s="115"/>
    </row>
    <row r="210" spans="2:12" ht="15.5">
      <c r="B210" s="396">
        <v>2013</v>
      </c>
      <c r="C210" s="107"/>
      <c r="D210" s="106" t="s">
        <v>974</v>
      </c>
      <c r="E210" s="107"/>
      <c r="F210" s="107"/>
      <c r="G210" s="107"/>
      <c r="H210" s="107"/>
      <c r="I210" s="107"/>
      <c r="J210" s="709">
        <v>3779500000</v>
      </c>
      <c r="K210" s="106" t="s">
        <v>957</v>
      </c>
      <c r="L210" s="108"/>
    </row>
    <row r="211" spans="2:12" ht="12.5">
      <c r="B211" s="109"/>
      <c r="D211" s="181">
        <v>2004.4</v>
      </c>
      <c r="E211" s="4" t="s">
        <v>79</v>
      </c>
      <c r="J211" s="4">
        <v>9021000</v>
      </c>
      <c r="K211" s="4" t="s">
        <v>958</v>
      </c>
      <c r="L211" s="110"/>
    </row>
    <row r="212" spans="2:12" ht="12.5">
      <c r="B212" s="109"/>
      <c r="D212" s="4" t="s">
        <v>975</v>
      </c>
      <c r="J212" s="789">
        <v>23.79</v>
      </c>
      <c r="K212" s="4" t="s">
        <v>163</v>
      </c>
      <c r="L212" s="110"/>
    </row>
    <row r="213" spans="2:12" ht="12.5">
      <c r="B213" s="109"/>
      <c r="J213" s="260">
        <f>J212*J211</f>
        <v>214609590</v>
      </c>
      <c r="K213" s="4" t="s">
        <v>250</v>
      </c>
      <c r="L213" s="110"/>
    </row>
    <row r="214" spans="2:12" ht="12.5">
      <c r="B214" s="109"/>
      <c r="J214" s="54">
        <f>J213/J210</f>
        <v>5.6782534726815714E-2</v>
      </c>
      <c r="K214" s="4" t="s">
        <v>254</v>
      </c>
      <c r="L214" s="110"/>
    </row>
    <row r="215" spans="2:12" ht="12.5">
      <c r="B215" s="109"/>
      <c r="E215" s="73">
        <v>2013</v>
      </c>
      <c r="L215" s="110"/>
    </row>
    <row r="216" spans="2:12" ht="12.5">
      <c r="B216" s="109"/>
      <c r="D216" s="73" t="s">
        <v>436</v>
      </c>
      <c r="E216" s="73">
        <v>260800</v>
      </c>
      <c r="F216" s="73">
        <v>68896071.299999997</v>
      </c>
      <c r="G216" s="73">
        <v>3.9220000000000002</v>
      </c>
      <c r="H216">
        <v>270210391.63859999</v>
      </c>
      <c r="L216" s="110"/>
    </row>
    <row r="217" spans="2:12" ht="12.5">
      <c r="B217" s="109"/>
      <c r="D217" s="73" t="s">
        <v>832</v>
      </c>
      <c r="E217" s="73">
        <v>10000</v>
      </c>
      <c r="F217" s="73">
        <v>2641721</v>
      </c>
      <c r="G217" s="73">
        <v>2.92</v>
      </c>
      <c r="H217">
        <v>7713825.3199999994</v>
      </c>
      <c r="J217" s="4" t="s">
        <v>966</v>
      </c>
      <c r="K217">
        <v>14581377.368466999</v>
      </c>
      <c r="L217" s="110"/>
    </row>
    <row r="218" spans="2:12" ht="12.5">
      <c r="B218" s="109"/>
      <c r="F218" s="34">
        <v>71537792.299999997</v>
      </c>
      <c r="G218" s="4" t="s">
        <v>154</v>
      </c>
      <c r="H218" s="34">
        <v>277924216.95859998</v>
      </c>
      <c r="I218" s="4" t="s">
        <v>164</v>
      </c>
      <c r="J218" s="4" t="s">
        <v>523</v>
      </c>
      <c r="K218" s="34">
        <f>K217/F218</f>
        <v>0.20382761194696528</v>
      </c>
      <c r="L218" s="110"/>
    </row>
    <row r="219" spans="2:12" ht="12.5">
      <c r="B219" s="109"/>
      <c r="L219" s="110"/>
    </row>
    <row r="220" spans="2:12" ht="12.5">
      <c r="B220" s="109"/>
      <c r="L220" s="110"/>
    </row>
    <row r="221" spans="2:12" ht="12.5">
      <c r="B221" s="109"/>
      <c r="D221" s="767"/>
      <c r="E221" s="767"/>
      <c r="F221" s="404">
        <v>2014</v>
      </c>
      <c r="G221" s="767"/>
      <c r="H221" s="404">
        <v>2015</v>
      </c>
      <c r="I221" s="767"/>
      <c r="J221" s="404" t="s">
        <v>835</v>
      </c>
      <c r="K221" s="796" t="s">
        <v>171</v>
      </c>
      <c r="L221" s="110"/>
    </row>
    <row r="222" spans="2:12" ht="13">
      <c r="B222" s="109"/>
      <c r="D222" s="798" t="s">
        <v>893</v>
      </c>
      <c r="E222" s="424"/>
      <c r="F222" s="424"/>
      <c r="G222" s="424"/>
      <c r="H222" s="424"/>
      <c r="I222" s="424"/>
      <c r="J222" s="424"/>
      <c r="K222" s="424"/>
      <c r="L222" s="110"/>
    </row>
    <row r="223" spans="2:12" ht="13">
      <c r="B223" s="109"/>
      <c r="D223" s="800" t="s">
        <v>982</v>
      </c>
      <c r="E223" s="767"/>
      <c r="F223" s="411">
        <v>175000</v>
      </c>
      <c r="G223" s="767"/>
      <c r="H223" s="411">
        <v>100000</v>
      </c>
      <c r="I223" s="767"/>
      <c r="J223" s="411">
        <v>275000</v>
      </c>
      <c r="K223" s="423">
        <v>11550000.368466999</v>
      </c>
      <c r="L223" s="110"/>
    </row>
    <row r="224" spans="2:12" ht="13">
      <c r="B224" s="109"/>
      <c r="D224" s="802" t="s">
        <v>873</v>
      </c>
      <c r="E224" s="424"/>
      <c r="F224" s="409">
        <v>88.78</v>
      </c>
      <c r="G224" s="424"/>
      <c r="H224" s="409">
        <v>86.64</v>
      </c>
      <c r="I224" s="424"/>
      <c r="J224" s="409">
        <v>88</v>
      </c>
      <c r="K224" s="424"/>
      <c r="L224" s="110"/>
    </row>
    <row r="225" spans="2:12" ht="13">
      <c r="B225" s="109"/>
      <c r="D225" s="800" t="s">
        <v>984</v>
      </c>
      <c r="E225" s="767"/>
      <c r="F225" s="411">
        <v>2520000</v>
      </c>
      <c r="G225" s="767"/>
      <c r="H225" s="412" t="s">
        <v>933</v>
      </c>
      <c r="I225" s="767"/>
      <c r="J225" s="411">
        <v>2520000</v>
      </c>
      <c r="K225" s="805">
        <f>J225</f>
        <v>2520000</v>
      </c>
      <c r="L225" s="110"/>
    </row>
    <row r="226" spans="2:12" ht="13">
      <c r="B226" s="109"/>
      <c r="D226" s="802" t="s">
        <v>873</v>
      </c>
      <c r="E226" s="424"/>
      <c r="F226" s="409">
        <v>2.83</v>
      </c>
      <c r="G226" s="424"/>
      <c r="H226" s="409" t="s">
        <v>933</v>
      </c>
      <c r="I226" s="424"/>
      <c r="J226" s="409">
        <v>2.83</v>
      </c>
      <c r="K226" s="424"/>
      <c r="L226" s="110"/>
    </row>
    <row r="227" spans="2:12" ht="13">
      <c r="B227" s="109"/>
      <c r="D227" s="800" t="s">
        <v>986</v>
      </c>
      <c r="E227" s="767"/>
      <c r="F227" s="411">
        <v>16104</v>
      </c>
      <c r="G227" s="767"/>
      <c r="H227" s="412" t="s">
        <v>933</v>
      </c>
      <c r="I227" s="767"/>
      <c r="J227" s="411">
        <v>16104</v>
      </c>
      <c r="K227" s="796">
        <v>511377</v>
      </c>
      <c r="L227" s="110"/>
    </row>
    <row r="228" spans="2:12" ht="13">
      <c r="B228" s="109"/>
      <c r="D228" s="802" t="s">
        <v>873</v>
      </c>
      <c r="E228" s="424"/>
      <c r="F228" s="409">
        <v>864</v>
      </c>
      <c r="G228" s="424"/>
      <c r="H228" s="409" t="s">
        <v>933</v>
      </c>
      <c r="I228" s="424"/>
      <c r="J228" s="409">
        <v>864</v>
      </c>
      <c r="L228" s="110"/>
    </row>
    <row r="229" spans="2:12" ht="12.5">
      <c r="B229" s="109"/>
      <c r="K229" s="185">
        <f>K227+K225+K223</f>
        <v>14581377.368466999</v>
      </c>
      <c r="L229" s="110"/>
    </row>
    <row r="230" spans="2:12" ht="12.5">
      <c r="B230" s="113"/>
      <c r="C230" s="114"/>
      <c r="D230" s="114"/>
      <c r="E230" s="114"/>
      <c r="F230" s="114"/>
      <c r="G230" s="114"/>
      <c r="H230" s="114"/>
      <c r="I230" s="114"/>
      <c r="J230" s="114"/>
      <c r="K230" s="114"/>
      <c r="L230" s="115"/>
    </row>
    <row r="234" spans="2:12" ht="18">
      <c r="B234" s="380">
        <v>2014</v>
      </c>
      <c r="C234" s="107"/>
      <c r="D234" s="173">
        <v>2710390</v>
      </c>
      <c r="E234" s="106" t="s">
        <v>311</v>
      </c>
      <c r="F234" s="107"/>
      <c r="G234" s="107"/>
      <c r="H234" s="810">
        <v>3466300000</v>
      </c>
      <c r="I234" s="106" t="s">
        <v>957</v>
      </c>
      <c r="J234" s="107"/>
      <c r="K234" s="107"/>
      <c r="L234" s="108"/>
    </row>
    <row r="235" spans="2:12" ht="12.5">
      <c r="B235" s="109"/>
      <c r="D235" s="181">
        <v>1971.2</v>
      </c>
      <c r="E235" s="4" t="s">
        <v>248</v>
      </c>
      <c r="H235" s="155">
        <v>4923000</v>
      </c>
      <c r="I235" s="4" t="s">
        <v>990</v>
      </c>
      <c r="L235" s="110"/>
    </row>
    <row r="236" spans="2:12" ht="12.5">
      <c r="B236" s="109"/>
      <c r="D236" s="4" t="s">
        <v>992</v>
      </c>
      <c r="H236" s="789">
        <v>19.07</v>
      </c>
      <c r="I236" s="4" t="s">
        <v>163</v>
      </c>
      <c r="L236" s="110"/>
    </row>
    <row r="237" spans="2:12" ht="12.5">
      <c r="B237" s="109"/>
      <c r="H237" s="183">
        <f>H235*H236</f>
        <v>93881610</v>
      </c>
      <c r="I237" s="4" t="s">
        <v>941</v>
      </c>
      <c r="L237" s="110"/>
    </row>
    <row r="238" spans="2:12" ht="12.5">
      <c r="B238" s="109"/>
      <c r="H238" s="34">
        <f>H237/H234</f>
        <v>2.7084098318091335E-2</v>
      </c>
      <c r="I238" s="4" t="s">
        <v>254</v>
      </c>
      <c r="L238" s="110"/>
    </row>
    <row r="239" spans="2:12" ht="12.5">
      <c r="B239" s="109"/>
      <c r="L239" s="110"/>
    </row>
    <row r="240" spans="2:12" ht="12.5">
      <c r="B240" s="109"/>
      <c r="L240" s="110"/>
    </row>
    <row r="241" spans="2:12" ht="13">
      <c r="B241" s="109"/>
      <c r="E241" s="623">
        <v>2014</v>
      </c>
      <c r="L241" s="110"/>
    </row>
    <row r="242" spans="2:12" ht="15.5">
      <c r="B242" s="109"/>
      <c r="D242" s="4" t="s">
        <v>436</v>
      </c>
      <c r="E242" s="155">
        <v>241000</v>
      </c>
      <c r="F242" s="4">
        <v>63665464.600000001</v>
      </c>
      <c r="G242" s="95">
        <v>3.8250000000000002</v>
      </c>
      <c r="H242" s="183">
        <f t="shared" ref="H242:H243" si="6">G242*F242</f>
        <v>243520402.09500003</v>
      </c>
      <c r="J242" s="4" t="s">
        <v>691</v>
      </c>
      <c r="L242" s="110"/>
    </row>
    <row r="243" spans="2:12" ht="15.5">
      <c r="B243" s="109"/>
      <c r="D243" s="4" t="s">
        <v>832</v>
      </c>
      <c r="E243" s="155">
        <v>19000</v>
      </c>
      <c r="F243" s="4">
        <v>5019269</v>
      </c>
      <c r="G243" s="95">
        <v>2.69</v>
      </c>
      <c r="H243" s="183">
        <f t="shared" si="6"/>
        <v>13501833.609999999</v>
      </c>
      <c r="L243" s="110"/>
    </row>
    <row r="244" spans="2:12" ht="12.5">
      <c r="B244" s="109"/>
      <c r="F244" s="34">
        <f>F242+F243</f>
        <v>68684733.599999994</v>
      </c>
      <c r="G244" s="4" t="s">
        <v>154</v>
      </c>
      <c r="H244" s="165">
        <f>H242+H243</f>
        <v>257022235.70500004</v>
      </c>
      <c r="I244" s="4" t="s">
        <v>164</v>
      </c>
      <c r="L244" s="110"/>
    </row>
    <row r="245" spans="2:12" ht="12.5">
      <c r="B245" s="109"/>
      <c r="L245" s="110"/>
    </row>
    <row r="246" spans="2:12" ht="12.5">
      <c r="B246" s="109"/>
      <c r="J246" s="4" t="s">
        <v>778</v>
      </c>
      <c r="K246">
        <v>12246680</v>
      </c>
      <c r="L246" s="110"/>
    </row>
    <row r="247" spans="2:12" ht="13">
      <c r="B247" s="109"/>
      <c r="C247" s="798" t="s">
        <v>893</v>
      </c>
      <c r="D247" s="424"/>
      <c r="E247" s="996"/>
      <c r="F247" s="996"/>
      <c r="G247" s="750" t="s">
        <v>154</v>
      </c>
      <c r="J247" s="4" t="s">
        <v>258</v>
      </c>
      <c r="K247" s="34">
        <f>K246/F244</f>
        <v>0.1783027953681981</v>
      </c>
      <c r="L247" s="110"/>
    </row>
    <row r="248" spans="2:12" ht="18">
      <c r="B248" s="109"/>
      <c r="C248" s="800" t="s">
        <v>982</v>
      </c>
      <c r="D248" s="767"/>
      <c r="E248" s="1057">
        <v>285400</v>
      </c>
      <c r="F248" s="996"/>
      <c r="G248" s="187">
        <v>11986800</v>
      </c>
      <c r="L248" s="110"/>
    </row>
    <row r="249" spans="2:12" ht="13">
      <c r="B249" s="109"/>
      <c r="C249" s="802" t="s">
        <v>873</v>
      </c>
      <c r="D249" s="424"/>
      <c r="E249" s="819" t="s">
        <v>296</v>
      </c>
      <c r="F249" s="415">
        <v>84.85</v>
      </c>
      <c r="G249" s="424"/>
      <c r="L249" s="110"/>
    </row>
    <row r="250" spans="2:12" ht="13">
      <c r="B250" s="109"/>
      <c r="C250" s="800" t="s">
        <v>986</v>
      </c>
      <c r="D250" s="767"/>
      <c r="E250" s="1057">
        <v>8184</v>
      </c>
      <c r="F250" s="996"/>
      <c r="G250" s="821">
        <v>259880</v>
      </c>
      <c r="L250" s="110"/>
    </row>
    <row r="251" spans="2:12" ht="13">
      <c r="B251" s="109"/>
      <c r="C251" s="802" t="s">
        <v>873</v>
      </c>
      <c r="D251" s="424"/>
      <c r="E251" s="819" t="s">
        <v>296</v>
      </c>
      <c r="F251" s="415">
        <v>779.72</v>
      </c>
      <c r="G251" s="424"/>
      <c r="L251" s="110"/>
    </row>
    <row r="252" spans="2:12" ht="15.5">
      <c r="B252" s="113"/>
      <c r="C252" s="823"/>
      <c r="D252" s="114"/>
      <c r="E252" s="114"/>
      <c r="F252" s="114"/>
      <c r="G252" s="825">
        <f>G248+G250</f>
        <v>12246680</v>
      </c>
      <c r="H252" s="122" t="s">
        <v>154</v>
      </c>
      <c r="I252" s="114"/>
      <c r="J252" s="114"/>
      <c r="K252" s="114"/>
      <c r="L252" s="115"/>
    </row>
    <row r="255" spans="2:12" ht="13">
      <c r="B255" s="105">
        <v>2015</v>
      </c>
      <c r="C255" s="107"/>
      <c r="D255" s="107"/>
      <c r="E255" s="827">
        <v>2015</v>
      </c>
      <c r="F255" s="107"/>
      <c r="G255" s="107"/>
      <c r="H255" s="107"/>
      <c r="I255" s="107"/>
      <c r="J255" s="107"/>
      <c r="K255" s="108"/>
    </row>
    <row r="256" spans="2:12" ht="15.5">
      <c r="B256" s="109"/>
      <c r="D256" s="4" t="s">
        <v>436</v>
      </c>
      <c r="E256" s="155">
        <v>257000</v>
      </c>
      <c r="F256" s="4">
        <v>67892217.5</v>
      </c>
      <c r="G256" s="95">
        <v>2.7069999999999999</v>
      </c>
      <c r="H256" s="183">
        <f t="shared" ref="H256:H257" si="7">G256*F256</f>
        <v>183784232.77249998</v>
      </c>
      <c r="J256" s="155">
        <v>5378000</v>
      </c>
      <c r="K256" s="233" t="s">
        <v>513</v>
      </c>
    </row>
    <row r="257" spans="2:13" ht="15.5">
      <c r="B257" s="109"/>
      <c r="D257" s="4" t="s">
        <v>832</v>
      </c>
      <c r="E257" s="155">
        <v>18000</v>
      </c>
      <c r="F257" s="4">
        <v>4755096.9000000004</v>
      </c>
      <c r="G257" s="95">
        <v>1.54</v>
      </c>
      <c r="H257" s="183">
        <f t="shared" si="7"/>
        <v>7322849.2260000007</v>
      </c>
      <c r="J257" s="710">
        <v>15.66</v>
      </c>
      <c r="K257" s="233" t="s">
        <v>163</v>
      </c>
    </row>
    <row r="258" spans="2:13" ht="12.5">
      <c r="B258" s="109"/>
      <c r="F258" s="34">
        <f>F256+F257</f>
        <v>72647314.400000006</v>
      </c>
      <c r="H258" s="165">
        <f>H256+H257</f>
        <v>191107081.99849999</v>
      </c>
      <c r="J258" s="183">
        <f>J257*J256</f>
        <v>84219480</v>
      </c>
      <c r="K258" s="233" t="s">
        <v>941</v>
      </c>
    </row>
    <row r="259" spans="2:13" ht="12.5">
      <c r="B259" s="109"/>
      <c r="J259" s="828">
        <v>3052200000</v>
      </c>
      <c r="K259" s="110"/>
    </row>
    <row r="260" spans="2:13" ht="12.5">
      <c r="B260" s="109"/>
      <c r="J260" s="34">
        <f>J258/J259</f>
        <v>2.7593041085118931E-2</v>
      </c>
      <c r="K260" s="233" t="s">
        <v>254</v>
      </c>
    </row>
    <row r="261" spans="2:13" ht="12.5">
      <c r="B261" s="109"/>
      <c r="D261" s="830" t="s">
        <v>893</v>
      </c>
      <c r="E261" s="767"/>
      <c r="F261" s="1019">
        <v>2016</v>
      </c>
      <c r="G261" s="1008"/>
      <c r="H261" s="796" t="s">
        <v>171</v>
      </c>
      <c r="K261" s="110"/>
    </row>
    <row r="262" spans="2:13" ht="18">
      <c r="B262" s="109"/>
      <c r="D262" s="802" t="s">
        <v>982</v>
      </c>
      <c r="E262" s="424"/>
      <c r="F262" s="1054">
        <v>404400</v>
      </c>
      <c r="G262" s="996"/>
      <c r="H262" s="187">
        <v>16984800</v>
      </c>
      <c r="K262" s="110"/>
    </row>
    <row r="263" spans="2:13" ht="13">
      <c r="B263" s="109"/>
      <c r="D263" s="800" t="s">
        <v>873</v>
      </c>
      <c r="K263" s="110"/>
    </row>
    <row r="264" spans="2:13" ht="12.5">
      <c r="B264" s="109"/>
      <c r="H264" s="4" t="s">
        <v>258</v>
      </c>
      <c r="I264" s="34">
        <f>H262/F258</f>
        <v>0.23379804388199102</v>
      </c>
      <c r="K264" s="110"/>
    </row>
    <row r="265" spans="2:13" ht="12.5">
      <c r="B265" s="109"/>
      <c r="C265" s="4" t="s">
        <v>1010</v>
      </c>
      <c r="K265" s="110"/>
    </row>
    <row r="266" spans="2:13" ht="12.5">
      <c r="B266" s="109"/>
      <c r="K266" s="110"/>
    </row>
    <row r="267" spans="2:13" ht="12.5">
      <c r="B267" s="109"/>
      <c r="D267" s="4" t="s">
        <v>1011</v>
      </c>
      <c r="K267" s="110"/>
    </row>
    <row r="268" spans="2:13" ht="12.5">
      <c r="B268" s="113"/>
      <c r="C268" s="114"/>
      <c r="D268" s="114"/>
      <c r="E268" s="114"/>
      <c r="F268" s="114"/>
      <c r="G268" s="114"/>
      <c r="H268" s="114"/>
      <c r="I268" s="114"/>
      <c r="J268" s="114"/>
      <c r="K268" s="115"/>
    </row>
    <row r="271" spans="2:13" ht="18">
      <c r="B271" s="380">
        <v>2016</v>
      </c>
      <c r="C271" s="107"/>
      <c r="D271" s="107"/>
      <c r="E271" s="107"/>
      <c r="F271" s="107"/>
      <c r="G271" s="107"/>
      <c r="H271" s="107"/>
      <c r="I271" s="107"/>
      <c r="J271" s="107"/>
      <c r="K271" s="107"/>
      <c r="L271" s="107"/>
      <c r="M271" s="108"/>
    </row>
    <row r="272" spans="2:13" ht="13">
      <c r="B272" s="109"/>
      <c r="D272" s="623">
        <v>2016</v>
      </c>
      <c r="M272" s="110"/>
    </row>
    <row r="273" spans="2:13" ht="12.5">
      <c r="B273" s="109"/>
      <c r="C273" s="4" t="s">
        <v>436</v>
      </c>
      <c r="D273" s="155">
        <v>339400</v>
      </c>
      <c r="E273" s="4">
        <v>89659994.599999994</v>
      </c>
      <c r="F273" s="634">
        <v>2.3039999999999998</v>
      </c>
      <c r="G273" s="43">
        <f t="shared" ref="G273:G274" si="8">F273*E273</f>
        <v>206576627.55839998</v>
      </c>
      <c r="M273" s="110"/>
    </row>
    <row r="274" spans="2:13" ht="12.5">
      <c r="B274" s="109"/>
      <c r="C274" s="122" t="s">
        <v>832</v>
      </c>
      <c r="D274" s="521">
        <v>4400</v>
      </c>
      <c r="E274" s="122">
        <v>1162357</v>
      </c>
      <c r="F274" s="122">
        <v>1.29</v>
      </c>
      <c r="G274" s="122">
        <f t="shared" si="8"/>
        <v>1499440.53</v>
      </c>
      <c r="I274" s="4" t="s">
        <v>492</v>
      </c>
      <c r="J274" s="34">
        <f>M282/E275</f>
        <v>0.62018410675021551</v>
      </c>
      <c r="M274" s="110"/>
    </row>
    <row r="275" spans="2:13" ht="13">
      <c r="B275" s="109"/>
      <c r="C275" s="4" t="s">
        <v>835</v>
      </c>
      <c r="D275" s="637"/>
      <c r="E275">
        <f>E273+E274</f>
        <v>90822351.599999994</v>
      </c>
      <c r="F275" s="4" t="s">
        <v>154</v>
      </c>
      <c r="G275" s="165">
        <f>G273+G274</f>
        <v>208076068.08839998</v>
      </c>
      <c r="M275" s="110"/>
    </row>
    <row r="276" spans="2:13" ht="12.5">
      <c r="B276" s="109"/>
      <c r="M276" s="110"/>
    </row>
    <row r="277" spans="2:13" ht="12.5">
      <c r="B277" s="109"/>
      <c r="M277" s="110"/>
    </row>
    <row r="278" spans="2:13" ht="12.5">
      <c r="B278" s="109"/>
      <c r="C278" s="836" t="s">
        <v>893</v>
      </c>
      <c r="D278" s="837"/>
      <c r="E278" s="1007">
        <v>2017</v>
      </c>
      <c r="F278" s="1008"/>
      <c r="G278" s="837"/>
      <c r="H278" s="1007">
        <v>2018</v>
      </c>
      <c r="I278" s="1008"/>
      <c r="J278" s="837"/>
      <c r="K278" s="1007">
        <v>2019</v>
      </c>
      <c r="L278" s="1008"/>
      <c r="M278" s="233" t="s">
        <v>285</v>
      </c>
    </row>
    <row r="279" spans="2:13" ht="13">
      <c r="B279" s="109"/>
      <c r="C279" s="839" t="s">
        <v>982</v>
      </c>
      <c r="D279" s="840"/>
      <c r="E279" s="1046">
        <v>737976</v>
      </c>
      <c r="F279" s="996"/>
      <c r="G279" s="840"/>
      <c r="H279" s="1046">
        <v>517482</v>
      </c>
      <c r="I279" s="996"/>
      <c r="J279" s="840"/>
      <c r="K279" s="1046">
        <v>85651</v>
      </c>
      <c r="L279" s="996"/>
      <c r="M279" s="553">
        <f>E279+H279+K279</f>
        <v>1341109</v>
      </c>
    </row>
    <row r="280" spans="2:13" ht="13">
      <c r="B280" s="109"/>
      <c r="C280" s="841" t="s">
        <v>873</v>
      </c>
      <c r="D280" s="837"/>
      <c r="E280" s="842" t="s">
        <v>296</v>
      </c>
      <c r="F280" s="843">
        <v>46.21</v>
      </c>
      <c r="G280" s="837"/>
      <c r="H280" s="842" t="s">
        <v>296</v>
      </c>
      <c r="I280" s="843">
        <v>48.35</v>
      </c>
      <c r="J280" s="837"/>
      <c r="K280" s="842" t="s">
        <v>296</v>
      </c>
      <c r="L280" s="843">
        <v>48.17</v>
      </c>
      <c r="M280" s="110"/>
    </row>
    <row r="281" spans="2:13" ht="15.5">
      <c r="B281" s="109"/>
      <c r="C281" s="443"/>
      <c r="M281" s="233" t="s">
        <v>154</v>
      </c>
    </row>
    <row r="282" spans="2:13" ht="18">
      <c r="B282" s="109"/>
      <c r="C282" s="4" t="s">
        <v>1014</v>
      </c>
      <c r="M282" s="844">
        <v>56326579</v>
      </c>
    </row>
    <row r="283" spans="2:13" ht="12.5">
      <c r="B283" s="109"/>
      <c r="M283" s="845"/>
    </row>
    <row r="284" spans="2:13" ht="12.5">
      <c r="B284" s="109"/>
      <c r="M284" s="110"/>
    </row>
    <row r="285" spans="2:13" ht="12.5">
      <c r="B285" s="109"/>
      <c r="D285" s="155">
        <v>5913000</v>
      </c>
      <c r="E285" s="4" t="s">
        <v>990</v>
      </c>
      <c r="M285" s="110"/>
    </row>
    <row r="286" spans="2:13" ht="12.5">
      <c r="B286" s="109"/>
      <c r="D286" s="789">
        <v>17.170000000000002</v>
      </c>
      <c r="E286" s="4" t="s">
        <v>163</v>
      </c>
      <c r="M286" s="110"/>
    </row>
    <row r="287" spans="2:13" ht="12.5">
      <c r="B287" s="109"/>
      <c r="D287" s="846">
        <f>D286*D285</f>
        <v>101526210.00000001</v>
      </c>
      <c r="E287" s="4" t="s">
        <v>941</v>
      </c>
      <c r="M287" s="110"/>
    </row>
    <row r="288" spans="2:13" ht="12.5">
      <c r="B288" s="109"/>
      <c r="D288" s="181">
        <v>3472000000</v>
      </c>
      <c r="E288" s="4" t="s">
        <v>267</v>
      </c>
      <c r="M288" s="110"/>
    </row>
    <row r="289" spans="2:14" ht="12.5">
      <c r="B289" s="109"/>
      <c r="D289" s="358">
        <f>D287/D288</f>
        <v>2.9241419930875579E-2</v>
      </c>
      <c r="E289" s="4" t="s">
        <v>254</v>
      </c>
      <c r="M289" s="110"/>
    </row>
    <row r="290" spans="2:14" ht="12.5">
      <c r="B290" s="113"/>
      <c r="C290" s="114"/>
      <c r="D290" s="114"/>
      <c r="E290" s="114"/>
      <c r="F290" s="114"/>
      <c r="G290" s="114"/>
      <c r="H290" s="114"/>
      <c r="I290" s="114"/>
      <c r="J290" s="114"/>
      <c r="K290" s="114"/>
      <c r="L290" s="114"/>
      <c r="M290" s="115"/>
    </row>
    <row r="293" spans="2:14" ht="18">
      <c r="C293" s="489">
        <v>2017</v>
      </c>
    </row>
    <row r="294" spans="2:14" ht="12.5">
      <c r="E294" s="73">
        <v>2017</v>
      </c>
    </row>
    <row r="295" spans="2:14" ht="12.5">
      <c r="E295" s="73" t="s">
        <v>828</v>
      </c>
      <c r="F295" s="73" t="s">
        <v>171</v>
      </c>
      <c r="G295" s="73" t="s">
        <v>163</v>
      </c>
      <c r="H295" s="73" t="s">
        <v>164</v>
      </c>
    </row>
    <row r="296" spans="2:14" ht="12.5">
      <c r="E296" s="73">
        <v>334600</v>
      </c>
      <c r="F296" s="73">
        <v>88391968.700000003</v>
      </c>
      <c r="G296" s="73">
        <v>2.65</v>
      </c>
      <c r="H296">
        <v>234238717.05500001</v>
      </c>
    </row>
    <row r="297" spans="2:14" ht="12.5">
      <c r="E297" s="73">
        <v>14700</v>
      </c>
      <c r="F297" s="73">
        <v>3883329.2</v>
      </c>
      <c r="G297" s="73">
        <v>1.58</v>
      </c>
      <c r="H297">
        <v>6135660.1360000009</v>
      </c>
    </row>
    <row r="298" spans="2:14" ht="12.5">
      <c r="F298" s="34">
        <v>92275297.900000006</v>
      </c>
      <c r="H298" s="34">
        <v>240374377.19100001</v>
      </c>
    </row>
    <row r="300" spans="2:14" ht="12.5">
      <c r="D300" s="830" t="s">
        <v>893</v>
      </c>
      <c r="E300" s="767"/>
      <c r="F300" s="1019">
        <v>2018</v>
      </c>
      <c r="G300" s="1008"/>
      <c r="H300" s="767"/>
      <c r="I300" s="1019">
        <v>2019</v>
      </c>
      <c r="J300" s="1008"/>
      <c r="K300" s="767"/>
      <c r="L300" s="1019">
        <v>2020</v>
      </c>
      <c r="M300" s="1008"/>
      <c r="N300" s="767"/>
    </row>
    <row r="301" spans="2:14" ht="13">
      <c r="D301" s="802" t="s">
        <v>1017</v>
      </c>
      <c r="E301" s="424"/>
      <c r="F301" s="1054">
        <v>907482</v>
      </c>
      <c r="G301" s="996"/>
      <c r="H301" s="424"/>
      <c r="I301" s="1054">
        <v>594451</v>
      </c>
      <c r="J301" s="996"/>
      <c r="K301" s="424"/>
      <c r="L301" s="1054">
        <v>90000</v>
      </c>
      <c r="M301" s="996"/>
      <c r="N301" s="424"/>
    </row>
    <row r="302" spans="2:14" ht="13">
      <c r="D302" s="800" t="s">
        <v>873</v>
      </c>
    </row>
    <row r="303" spans="2:14" ht="12.5">
      <c r="F303" s="4" t="s">
        <v>285</v>
      </c>
      <c r="G303" s="184">
        <f>F301+I301+L301</f>
        <v>1591933</v>
      </c>
      <c r="H303" s="4" t="s">
        <v>287</v>
      </c>
    </row>
    <row r="304" spans="2:14" ht="18">
      <c r="G304" s="187">
        <v>66861188</v>
      </c>
      <c r="H304" s="4" t="s">
        <v>171</v>
      </c>
    </row>
    <row r="305" spans="5:7" ht="12.5">
      <c r="F305" s="4" t="s">
        <v>258</v>
      </c>
      <c r="G305" s="34">
        <f>G304/F298</f>
        <v>0.72458382169037672</v>
      </c>
    </row>
    <row r="307" spans="5:7" ht="12.5">
      <c r="E307" s="4" t="s">
        <v>1018</v>
      </c>
    </row>
    <row r="311" spans="5:7" ht="12.5">
      <c r="F311" s="155">
        <v>5058000</v>
      </c>
      <c r="G311" s="4" t="s">
        <v>513</v>
      </c>
    </row>
    <row r="312" spans="5:7" ht="13">
      <c r="F312" s="710">
        <v>17.07</v>
      </c>
      <c r="G312" s="4" t="s">
        <v>163</v>
      </c>
    </row>
    <row r="313" spans="5:7" ht="12.5">
      <c r="F313" s="183">
        <f>F312*F311</f>
        <v>86340060</v>
      </c>
      <c r="G313" s="4" t="s">
        <v>941</v>
      </c>
    </row>
    <row r="314" spans="5:7" ht="12.5">
      <c r="F314" s="181">
        <v>3303000000</v>
      </c>
      <c r="G314" s="4" t="s">
        <v>1019</v>
      </c>
    </row>
    <row r="315" spans="5:7" ht="12.5">
      <c r="F315" s="358">
        <f>F313/F314</f>
        <v>2.6139891008174387E-2</v>
      </c>
      <c r="G315" s="4" t="s">
        <v>254</v>
      </c>
    </row>
  </sheetData>
  <mergeCells count="54">
    <mergeCell ref="D130:L130"/>
    <mergeCell ref="L301:M301"/>
    <mergeCell ref="I301:J301"/>
    <mergeCell ref="F301:G301"/>
    <mergeCell ref="I300:J300"/>
    <mergeCell ref="F300:G300"/>
    <mergeCell ref="L300:M300"/>
    <mergeCell ref="A2:J2"/>
    <mergeCell ref="C50:D50"/>
    <mergeCell ref="F262:G262"/>
    <mergeCell ref="F261:G261"/>
    <mergeCell ref="D110:E110"/>
    <mergeCell ref="C163:D163"/>
    <mergeCell ref="D108:E108"/>
    <mergeCell ref="D109:L109"/>
    <mergeCell ref="D119:L119"/>
    <mergeCell ref="D146:L146"/>
    <mergeCell ref="E248:F248"/>
    <mergeCell ref="E250:F250"/>
    <mergeCell ref="E247:F247"/>
    <mergeCell ref="D122:L122"/>
    <mergeCell ref="D138:L138"/>
    <mergeCell ref="D125:L125"/>
    <mergeCell ref="C80:Q80"/>
    <mergeCell ref="C74:Q74"/>
    <mergeCell ref="C52:D52"/>
    <mergeCell ref="H33:L35"/>
    <mergeCell ref="H37:I37"/>
    <mergeCell ref="C46:M48"/>
    <mergeCell ref="C58:Q58"/>
    <mergeCell ref="C61:Q61"/>
    <mergeCell ref="C51:Q51"/>
    <mergeCell ref="C55:Q55"/>
    <mergeCell ref="C77:Q77"/>
    <mergeCell ref="C64:Q64"/>
    <mergeCell ref="C67:Q67"/>
    <mergeCell ref="C71:D71"/>
    <mergeCell ref="C70:Q70"/>
    <mergeCell ref="E279:F279"/>
    <mergeCell ref="E278:F278"/>
    <mergeCell ref="D142:L142"/>
    <mergeCell ref="D147:E147"/>
    <mergeCell ref="C83:Q83"/>
    <mergeCell ref="C84:D84"/>
    <mergeCell ref="K278:L278"/>
    <mergeCell ref="K279:L279"/>
    <mergeCell ref="H279:I279"/>
    <mergeCell ref="H278:I278"/>
    <mergeCell ref="C87:Q87"/>
    <mergeCell ref="E89:M90"/>
    <mergeCell ref="D113:L113"/>
    <mergeCell ref="D116:L116"/>
    <mergeCell ref="D134:L134"/>
    <mergeCell ref="D126:E1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221"/>
  <sheetViews>
    <sheetView workbookViewId="0"/>
  </sheetViews>
  <sheetFormatPr defaultColWidth="14.453125" defaultRowHeight="15.75" customHeight="1"/>
  <sheetData>
    <row r="1" spans="1:19" ht="15.75" customHeight="1">
      <c r="A1" s="769"/>
    </row>
    <row r="2" spans="1:19" ht="15.5">
      <c r="A2" s="770"/>
      <c r="B2" s="771">
        <v>2009</v>
      </c>
      <c r="G2" s="773">
        <v>0.17</v>
      </c>
      <c r="H2" s="4" t="s">
        <v>962</v>
      </c>
      <c r="J2" s="4" t="s">
        <v>963</v>
      </c>
    </row>
    <row r="3" spans="1:19" ht="15.75" customHeight="1">
      <c r="A3" s="774"/>
      <c r="B3" s="774"/>
      <c r="C3" s="774"/>
      <c r="D3" s="774"/>
      <c r="E3" s="774"/>
    </row>
    <row r="4" spans="1:19" ht="15.75" customHeight="1">
      <c r="A4" s="774"/>
      <c r="B4" s="774"/>
      <c r="C4" s="161">
        <v>5200000</v>
      </c>
      <c r="D4" s="776" t="s">
        <v>964</v>
      </c>
    </row>
    <row r="5" spans="1:19" ht="15.75" customHeight="1">
      <c r="A5" s="774"/>
      <c r="B5" s="774"/>
      <c r="C5" s="776" t="s">
        <v>965</v>
      </c>
      <c r="D5" s="774"/>
      <c r="E5" s="776"/>
    </row>
    <row r="6" spans="1:19" ht="15.75" customHeight="1">
      <c r="A6" s="777"/>
      <c r="B6" s="774"/>
      <c r="C6" s="778"/>
      <c r="D6" s="779"/>
      <c r="E6" s="774"/>
    </row>
    <row r="7" spans="1:19" ht="15.75" customHeight="1">
      <c r="A7" s="777"/>
      <c r="B7" s="774"/>
      <c r="C7" s="780"/>
      <c r="D7" s="774"/>
      <c r="E7" s="780"/>
    </row>
    <row r="8" spans="1:19" ht="15.75" customHeight="1">
      <c r="A8" s="777"/>
      <c r="B8" s="774"/>
      <c r="C8" s="781" t="s">
        <v>967</v>
      </c>
      <c r="D8" s="774"/>
      <c r="E8" s="780"/>
    </row>
    <row r="9" spans="1:19" ht="15.75" customHeight="1">
      <c r="A9" s="770"/>
      <c r="C9" s="4" t="s">
        <v>970</v>
      </c>
    </row>
    <row r="10" spans="1:19" ht="15.75" customHeight="1">
      <c r="A10" s="769"/>
    </row>
    <row r="11" spans="1:19" ht="15.75" customHeight="1">
      <c r="A11" s="770"/>
      <c r="C11" s="782">
        <v>2726</v>
      </c>
      <c r="D11" s="783" t="s">
        <v>971</v>
      </c>
      <c r="K11" s="4" t="s">
        <v>258</v>
      </c>
      <c r="L11">
        <f>29000000/D69</f>
        <v>0.16182087003314416</v>
      </c>
    </row>
    <row r="12" spans="1:19" ht="15.75" customHeight="1">
      <c r="A12" s="774"/>
      <c r="B12" s="774"/>
      <c r="C12" s="784">
        <v>323</v>
      </c>
      <c r="D12" s="776" t="s">
        <v>972</v>
      </c>
      <c r="E12" s="774"/>
      <c r="F12" s="774"/>
      <c r="G12" s="786" t="s">
        <v>973</v>
      </c>
      <c r="H12" s="786"/>
      <c r="I12" s="786"/>
      <c r="J12" s="786"/>
      <c r="K12" s="786"/>
      <c r="L12" s="786"/>
      <c r="M12" s="786"/>
      <c r="N12" s="786"/>
      <c r="O12" s="786"/>
      <c r="P12" s="786"/>
      <c r="Q12" s="788"/>
    </row>
    <row r="13" spans="1:19" ht="15.75" customHeight="1">
      <c r="A13" s="774"/>
      <c r="B13" s="774"/>
      <c r="C13" s="162">
        <f>C12+C11</f>
        <v>3049</v>
      </c>
      <c r="D13" s="783" t="s">
        <v>517</v>
      </c>
      <c r="E13" s="776"/>
      <c r="F13" s="776"/>
      <c r="G13" s="790"/>
      <c r="H13" s="788"/>
      <c r="I13" s="996"/>
      <c r="J13" s="996"/>
      <c r="K13" s="788"/>
      <c r="L13" s="788"/>
      <c r="M13" s="996"/>
      <c r="N13" s="996"/>
      <c r="O13" s="788"/>
      <c r="P13" s="788"/>
      <c r="Q13" s="786"/>
      <c r="R13" s="786"/>
      <c r="S13" s="788"/>
    </row>
    <row r="14" spans="1:19" ht="15.75" customHeight="1">
      <c r="A14" s="774"/>
      <c r="B14" s="774"/>
      <c r="C14" s="780"/>
      <c r="D14" s="774"/>
      <c r="E14" s="776"/>
      <c r="F14" s="774"/>
      <c r="G14" s="790"/>
      <c r="H14" s="788"/>
      <c r="J14" s="786">
        <v>2010</v>
      </c>
      <c r="K14" s="786">
        <v>2011</v>
      </c>
      <c r="L14" s="786" t="s">
        <v>976</v>
      </c>
      <c r="M14" s="786"/>
      <c r="N14" s="788"/>
    </row>
    <row r="15" spans="1:19" ht="15.75" customHeight="1">
      <c r="A15" s="777"/>
      <c r="B15" s="774"/>
      <c r="C15" s="4">
        <v>6386</v>
      </c>
      <c r="D15" s="4" t="s">
        <v>977</v>
      </c>
      <c r="E15" s="774"/>
      <c r="F15" s="774"/>
      <c r="G15" s="791"/>
    </row>
    <row r="16" spans="1:19" ht="15.75" customHeight="1">
      <c r="A16" s="777"/>
      <c r="B16" s="774"/>
      <c r="C16" s="4">
        <v>1319</v>
      </c>
      <c r="D16" s="4" t="s">
        <v>514</v>
      </c>
      <c r="E16" s="780"/>
      <c r="F16" s="774"/>
      <c r="G16" s="792" t="s">
        <v>980</v>
      </c>
      <c r="H16" s="793"/>
      <c r="I16" s="794"/>
      <c r="J16" s="795"/>
      <c r="K16" s="795"/>
      <c r="L16" s="795"/>
      <c r="M16" s="794"/>
    </row>
    <row r="17" spans="1:15" ht="15.75" customHeight="1">
      <c r="A17" s="777"/>
      <c r="B17" s="774"/>
      <c r="C17">
        <f>C16+C15</f>
        <v>7705</v>
      </c>
      <c r="D17" s="4" t="s">
        <v>517</v>
      </c>
      <c r="E17" s="780"/>
      <c r="F17" s="774"/>
      <c r="G17" s="779" t="s">
        <v>981</v>
      </c>
      <c r="H17" s="797"/>
      <c r="I17" s="779" t="s">
        <v>296</v>
      </c>
      <c r="J17" s="778">
        <v>41</v>
      </c>
      <c r="K17" s="778">
        <v>17</v>
      </c>
      <c r="L17" s="778">
        <v>58</v>
      </c>
      <c r="M17" s="799"/>
    </row>
    <row r="18" spans="1:15" ht="15.75" customHeight="1">
      <c r="A18" s="770"/>
      <c r="C18" s="801">
        <f>1-(C15/C17)</f>
        <v>0.17118754055807917</v>
      </c>
      <c r="D18" s="783" t="s">
        <v>254</v>
      </c>
      <c r="G18" s="792" t="s">
        <v>983</v>
      </c>
      <c r="H18" s="793"/>
      <c r="I18" s="794"/>
      <c r="J18" s="803">
        <v>1.94</v>
      </c>
      <c r="K18" s="803">
        <v>2.17</v>
      </c>
      <c r="L18" s="803">
        <v>2</v>
      </c>
      <c r="M18" s="794"/>
    </row>
    <row r="19" spans="1:15" ht="15.75" customHeight="1">
      <c r="A19" s="804"/>
      <c r="G19" s="779" t="s">
        <v>985</v>
      </c>
      <c r="H19" s="797"/>
      <c r="I19" s="799"/>
      <c r="J19" s="778">
        <v>21</v>
      </c>
      <c r="K19" s="778">
        <v>8</v>
      </c>
      <c r="L19" s="806">
        <v>29</v>
      </c>
    </row>
    <row r="20" spans="1:15" ht="15.75" customHeight="1">
      <c r="A20" s="770"/>
      <c r="G20" s="807"/>
    </row>
    <row r="22" spans="1:15" ht="13">
      <c r="C22" s="808"/>
      <c r="D22" s="809">
        <v>2014</v>
      </c>
      <c r="E22" s="809">
        <v>2015</v>
      </c>
      <c r="F22" s="809">
        <v>2016</v>
      </c>
      <c r="G22" s="809">
        <v>2017</v>
      </c>
      <c r="H22" s="809">
        <v>2018</v>
      </c>
      <c r="J22" s="811" t="s">
        <v>989</v>
      </c>
    </row>
    <row r="23" spans="1:15" ht="13">
      <c r="C23" s="812" t="s">
        <v>991</v>
      </c>
      <c r="D23" s="813"/>
      <c r="E23" s="813"/>
      <c r="F23" s="813"/>
      <c r="G23" s="813"/>
      <c r="H23" s="813"/>
      <c r="J23" s="808"/>
      <c r="K23" s="809">
        <v>2014</v>
      </c>
      <c r="L23" s="809">
        <v>2015</v>
      </c>
      <c r="M23" s="809">
        <v>2016</v>
      </c>
      <c r="N23" s="809">
        <v>2017</v>
      </c>
      <c r="O23" s="809">
        <v>2018</v>
      </c>
    </row>
    <row r="24" spans="1:15" ht="12.5">
      <c r="C24" s="814" t="s">
        <v>993</v>
      </c>
      <c r="D24" s="815">
        <v>52.1</v>
      </c>
      <c r="E24" s="815">
        <v>45.8</v>
      </c>
      <c r="F24" s="815">
        <v>33.299999999999997</v>
      </c>
      <c r="G24" s="815">
        <v>37</v>
      </c>
      <c r="H24" s="815">
        <v>37</v>
      </c>
      <c r="J24" s="816" t="s">
        <v>996</v>
      </c>
      <c r="K24" s="817">
        <v>0.50700000000000001</v>
      </c>
      <c r="L24" s="817">
        <v>0.41299999999999998</v>
      </c>
      <c r="M24" s="817">
        <v>0.32500000000000001</v>
      </c>
      <c r="N24" s="817">
        <v>0.32800000000000001</v>
      </c>
      <c r="O24" s="817">
        <v>0.29199999999999998</v>
      </c>
    </row>
    <row r="25" spans="1:15" ht="12.5">
      <c r="C25" s="816" t="s">
        <v>996</v>
      </c>
      <c r="D25" s="818">
        <v>26.4</v>
      </c>
      <c r="E25" s="818">
        <v>18.899999999999999</v>
      </c>
      <c r="F25" s="818">
        <v>10.1</v>
      </c>
      <c r="G25" s="818">
        <v>10.4</v>
      </c>
      <c r="H25" s="818">
        <v>10.8</v>
      </c>
      <c r="J25" s="820" t="s">
        <v>436</v>
      </c>
      <c r="K25" s="822">
        <v>0.434</v>
      </c>
      <c r="L25" s="822">
        <v>0.53300000000000003</v>
      </c>
      <c r="M25" s="822">
        <v>0.58799999999999997</v>
      </c>
      <c r="N25" s="822">
        <v>0.58599999999999997</v>
      </c>
      <c r="O25" s="822">
        <v>0.59599999999999997</v>
      </c>
    </row>
    <row r="26" spans="1:15" ht="12.5">
      <c r="C26" s="820" t="s">
        <v>436</v>
      </c>
      <c r="D26" s="824">
        <v>22.6</v>
      </c>
      <c r="E26" s="824">
        <v>24.4</v>
      </c>
      <c r="F26" s="824">
        <v>20.6</v>
      </c>
      <c r="G26" s="824">
        <v>22.6</v>
      </c>
      <c r="H26" s="824">
        <v>22.2</v>
      </c>
      <c r="J26" s="816" t="s">
        <v>999</v>
      </c>
      <c r="K26" s="818" t="s">
        <v>1000</v>
      </c>
      <c r="L26" s="818" t="s">
        <v>1000</v>
      </c>
      <c r="M26" s="826">
        <v>0</v>
      </c>
      <c r="N26" s="826">
        <v>0</v>
      </c>
      <c r="O26" s="826">
        <v>0</v>
      </c>
    </row>
    <row r="27" spans="1:15" ht="12.5">
      <c r="C27" s="816" t="s">
        <v>999</v>
      </c>
      <c r="D27" s="818">
        <v>0</v>
      </c>
      <c r="E27" s="818">
        <v>0</v>
      </c>
      <c r="F27" s="818">
        <v>0</v>
      </c>
      <c r="G27" s="818">
        <v>0</v>
      </c>
      <c r="H27" s="818">
        <v>0</v>
      </c>
      <c r="J27" s="820" t="s">
        <v>1001</v>
      </c>
      <c r="K27" s="824" t="s">
        <v>1000</v>
      </c>
      <c r="L27" s="824" t="s">
        <v>1000</v>
      </c>
      <c r="M27" s="824" t="s">
        <v>1000</v>
      </c>
      <c r="N27" s="824" t="s">
        <v>1000</v>
      </c>
      <c r="O27" s="822">
        <v>5.0000000000000001E-3</v>
      </c>
    </row>
    <row r="28" spans="1:15" ht="12.5">
      <c r="C28" s="820" t="s">
        <v>1001</v>
      </c>
      <c r="D28" s="824">
        <v>0.1</v>
      </c>
      <c r="E28" s="824">
        <v>0.1</v>
      </c>
      <c r="F28" s="824">
        <v>0.1</v>
      </c>
      <c r="G28" s="824">
        <v>0.2</v>
      </c>
      <c r="H28" s="824">
        <v>0.2</v>
      </c>
      <c r="J28" s="816" t="s">
        <v>1002</v>
      </c>
      <c r="K28" s="817">
        <v>3.5000000000000003E-2</v>
      </c>
      <c r="L28" s="817">
        <v>3.9E-2</v>
      </c>
      <c r="M28" s="817">
        <v>6.8000000000000005E-2</v>
      </c>
      <c r="N28" s="817">
        <v>6.8000000000000005E-2</v>
      </c>
      <c r="O28" s="817">
        <v>5.5E-2</v>
      </c>
    </row>
    <row r="29" spans="1:15" ht="12.5">
      <c r="C29" s="816" t="s">
        <v>1002</v>
      </c>
      <c r="D29" s="818">
        <v>1.8</v>
      </c>
      <c r="E29" s="818">
        <v>1.8</v>
      </c>
      <c r="F29" s="818">
        <v>2.1</v>
      </c>
      <c r="G29" s="818">
        <v>2.2000000000000002</v>
      </c>
      <c r="H29" s="818">
        <v>2.1</v>
      </c>
      <c r="J29" s="820" t="s">
        <v>1003</v>
      </c>
      <c r="K29" s="822">
        <v>1.4999999999999999E-2</v>
      </c>
      <c r="L29" s="824" t="s">
        <v>1000</v>
      </c>
      <c r="M29" s="824" t="s">
        <v>1000</v>
      </c>
      <c r="N29" s="824" t="s">
        <v>1000</v>
      </c>
      <c r="O29" s="822">
        <v>6.0000000000000001E-3</v>
      </c>
    </row>
    <row r="30" spans="1:15" ht="12.5">
      <c r="C30" s="820" t="s">
        <v>1003</v>
      </c>
      <c r="D30" s="824">
        <v>0.8</v>
      </c>
      <c r="E30" s="824">
        <v>0.3</v>
      </c>
      <c r="F30" s="824">
        <v>0.2</v>
      </c>
      <c r="G30" s="824">
        <v>0.2</v>
      </c>
      <c r="H30" s="824">
        <v>0.2</v>
      </c>
      <c r="J30" s="816" t="s">
        <v>1004</v>
      </c>
      <c r="K30" s="818" t="s">
        <v>1000</v>
      </c>
      <c r="L30" s="818" t="s">
        <v>1000</v>
      </c>
      <c r="M30" s="826">
        <v>0</v>
      </c>
      <c r="N30" s="818" t="s">
        <v>1000</v>
      </c>
      <c r="O30" s="817">
        <v>0.04</v>
      </c>
    </row>
    <row r="31" spans="1:15" ht="12.5">
      <c r="C31" s="816" t="s">
        <v>1004</v>
      </c>
      <c r="D31" s="818">
        <v>0.2</v>
      </c>
      <c r="E31" s="818">
        <v>0.2</v>
      </c>
      <c r="F31" s="818">
        <v>0</v>
      </c>
      <c r="G31" s="818">
        <v>1.4</v>
      </c>
      <c r="H31" s="818">
        <v>1.5</v>
      </c>
      <c r="J31" s="820" t="s">
        <v>1005</v>
      </c>
      <c r="K31" s="824" t="s">
        <v>1000</v>
      </c>
      <c r="L31" s="829">
        <v>0</v>
      </c>
      <c r="M31" s="824" t="s">
        <v>1000</v>
      </c>
      <c r="N31" s="829">
        <v>0</v>
      </c>
      <c r="O31" s="829">
        <v>0</v>
      </c>
    </row>
    <row r="32" spans="1:15" ht="12.5">
      <c r="C32" s="820" t="s">
        <v>1005</v>
      </c>
      <c r="D32" s="824">
        <v>0</v>
      </c>
      <c r="E32" s="824" t="s">
        <v>1006</v>
      </c>
      <c r="F32" s="824">
        <v>0.2</v>
      </c>
      <c r="G32" s="824">
        <v>0</v>
      </c>
      <c r="H32" s="824">
        <v>0</v>
      </c>
    </row>
    <row r="33" spans="3:9" ht="12.5">
      <c r="C33" s="812" t="s">
        <v>1007</v>
      </c>
      <c r="D33" s="831">
        <v>0.3</v>
      </c>
      <c r="E33" s="831">
        <v>0.3</v>
      </c>
      <c r="F33" s="831">
        <v>0.2</v>
      </c>
      <c r="G33" s="831">
        <v>0.2</v>
      </c>
      <c r="H33" s="831">
        <v>0.2</v>
      </c>
    </row>
    <row r="36" spans="3:9" ht="12.5">
      <c r="C36" s="820" t="s">
        <v>436</v>
      </c>
      <c r="D36" s="824">
        <v>22.6</v>
      </c>
      <c r="E36" s="824">
        <v>24.4</v>
      </c>
      <c r="F36" s="824">
        <v>20.6</v>
      </c>
      <c r="G36" s="824">
        <v>22.6</v>
      </c>
      <c r="H36" s="824">
        <v>22.2</v>
      </c>
      <c r="I36" s="4" t="s">
        <v>243</v>
      </c>
    </row>
    <row r="37" spans="3:9" ht="12.5">
      <c r="D37" s="4">
        <v>154245154</v>
      </c>
      <c r="E37" s="4">
        <v>166530166</v>
      </c>
      <c r="F37" s="4">
        <v>140595140</v>
      </c>
      <c r="G37" s="4">
        <v>154245154</v>
      </c>
      <c r="H37" s="4">
        <v>151515151</v>
      </c>
      <c r="I37" s="4" t="s">
        <v>171</v>
      </c>
    </row>
    <row r="38" spans="3:9" ht="12.5">
      <c r="C38" s="833"/>
      <c r="D38" s="14">
        <v>3.8250000000000002</v>
      </c>
      <c r="E38" s="14">
        <v>2.7069999999999999</v>
      </c>
      <c r="F38" s="14">
        <v>2.3039999999999998</v>
      </c>
      <c r="G38" s="14">
        <v>2.65</v>
      </c>
      <c r="H38" s="14">
        <v>3.1779999999999999</v>
      </c>
      <c r="I38" s="4" t="s">
        <v>163</v>
      </c>
    </row>
    <row r="39" spans="3:9" ht="12.5">
      <c r="C39" s="833"/>
      <c r="D39" s="834">
        <f t="shared" ref="D39:H39" si="0">D38*D37</f>
        <v>589987714.05000007</v>
      </c>
      <c r="E39" s="834">
        <f t="shared" si="0"/>
        <v>450797159.36199999</v>
      </c>
      <c r="F39" s="834">
        <f t="shared" si="0"/>
        <v>323931202.56</v>
      </c>
      <c r="G39" s="834">
        <f t="shared" si="0"/>
        <v>408749658.09999996</v>
      </c>
      <c r="H39" s="834">
        <f t="shared" si="0"/>
        <v>481515149.87799996</v>
      </c>
      <c r="I39" s="4" t="s">
        <v>164</v>
      </c>
    </row>
    <row r="40" spans="3:9" ht="12.5">
      <c r="C40" s="820" t="s">
        <v>1001</v>
      </c>
      <c r="D40" s="824">
        <v>0.1</v>
      </c>
      <c r="E40" s="824">
        <v>0.1</v>
      </c>
      <c r="F40" s="824">
        <v>0.1</v>
      </c>
      <c r="G40" s="824">
        <v>0.2</v>
      </c>
      <c r="H40" s="824">
        <v>0.2</v>
      </c>
      <c r="I40" s="4" t="s">
        <v>243</v>
      </c>
    </row>
    <row r="41" spans="3:9" ht="12.5">
      <c r="D41" s="4">
        <v>758955</v>
      </c>
      <c r="E41" s="4">
        <v>758955</v>
      </c>
      <c r="F41" s="4">
        <v>758955</v>
      </c>
      <c r="G41" s="4">
        <v>1517911</v>
      </c>
      <c r="H41" s="4">
        <v>1517911</v>
      </c>
      <c r="I41" s="4" t="s">
        <v>171</v>
      </c>
    </row>
    <row r="42" spans="3:9" ht="12.5">
      <c r="C42" s="835"/>
      <c r="D42" s="29">
        <v>3.37</v>
      </c>
      <c r="E42" s="33">
        <v>2.4500000000000002</v>
      </c>
      <c r="F42" s="29">
        <v>2.25</v>
      </c>
      <c r="G42" s="33">
        <v>2.528</v>
      </c>
      <c r="H42" s="838"/>
      <c r="I42" s="4" t="s">
        <v>163</v>
      </c>
    </row>
    <row r="43" spans="3:9" ht="12.5">
      <c r="C43" s="835"/>
      <c r="D43" s="838">
        <f t="shared" ref="D43:G43" si="1">D41*D42</f>
        <v>2557678.35</v>
      </c>
      <c r="E43" s="838">
        <f t="shared" si="1"/>
        <v>1859439.7500000002</v>
      </c>
      <c r="F43" s="838">
        <f t="shared" si="1"/>
        <v>1707648.75</v>
      </c>
      <c r="G43" s="838">
        <f t="shared" si="1"/>
        <v>3837279.0079999999</v>
      </c>
      <c r="H43" s="838"/>
      <c r="I43" s="4" t="s">
        <v>164</v>
      </c>
    </row>
    <row r="44" spans="3:9" ht="12.5">
      <c r="C44" s="816" t="s">
        <v>1004</v>
      </c>
      <c r="D44" s="818">
        <v>0.2</v>
      </c>
      <c r="E44" s="818">
        <v>0.2</v>
      </c>
      <c r="F44" s="818">
        <v>0</v>
      </c>
      <c r="G44" s="818">
        <v>1.4</v>
      </c>
      <c r="H44" s="818">
        <v>1.5</v>
      </c>
    </row>
    <row r="45" spans="3:9" ht="12.5">
      <c r="D45" s="4">
        <v>1365001</v>
      </c>
      <c r="E45" s="4">
        <v>1365001</v>
      </c>
      <c r="F45" s="4">
        <v>0</v>
      </c>
      <c r="G45" s="4">
        <v>9555009</v>
      </c>
      <c r="H45" s="4">
        <v>10237510</v>
      </c>
    </row>
    <row r="46" spans="3:9" ht="15.5">
      <c r="D46" s="95">
        <v>2.69</v>
      </c>
      <c r="E46" s="95">
        <v>1.54</v>
      </c>
      <c r="F46" s="95">
        <v>1.29</v>
      </c>
      <c r="G46" s="95">
        <v>1.58</v>
      </c>
      <c r="I46" s="4" t="s">
        <v>163</v>
      </c>
    </row>
    <row r="47" spans="3:9" ht="12.5">
      <c r="D47" s="183">
        <f t="shared" ref="D47:G47" si="2">D46*D45</f>
        <v>3671852.69</v>
      </c>
      <c r="E47" s="183">
        <f t="shared" si="2"/>
        <v>2102101.54</v>
      </c>
      <c r="F47" s="183">
        <f t="shared" si="2"/>
        <v>0</v>
      </c>
      <c r="G47" s="183">
        <f t="shared" si="2"/>
        <v>15096914.220000001</v>
      </c>
      <c r="I47" s="4" t="s">
        <v>164</v>
      </c>
    </row>
    <row r="49" spans="3:9" ht="12.5">
      <c r="D49" s="34">
        <f t="shared" ref="D49:G49" si="3">D37+D41+D45</f>
        <v>156369110</v>
      </c>
      <c r="E49" s="34">
        <f t="shared" si="3"/>
        <v>168654122</v>
      </c>
      <c r="F49" s="34">
        <f t="shared" si="3"/>
        <v>141354095</v>
      </c>
      <c r="G49" s="34">
        <f t="shared" si="3"/>
        <v>165318074</v>
      </c>
      <c r="I49" s="4" t="s">
        <v>819</v>
      </c>
    </row>
    <row r="50" spans="3:9" ht="12.5">
      <c r="D50" s="307">
        <f t="shared" ref="D50:G50" si="4">D39+D43+D47</f>
        <v>596217245.09000015</v>
      </c>
      <c r="E50" s="307">
        <f t="shared" si="4"/>
        <v>454758700.65200001</v>
      </c>
      <c r="F50" s="307">
        <f t="shared" si="4"/>
        <v>325638851.31</v>
      </c>
      <c r="G50" s="307">
        <f t="shared" si="4"/>
        <v>427683851.32800001</v>
      </c>
      <c r="I50" s="4" t="s">
        <v>830</v>
      </c>
    </row>
    <row r="53" spans="3:9" ht="13">
      <c r="D53" s="623">
        <v>2009</v>
      </c>
      <c r="E53" s="623">
        <v>2010</v>
      </c>
      <c r="F53" s="623">
        <v>2011</v>
      </c>
      <c r="G53" s="623">
        <v>2012</v>
      </c>
      <c r="H53" s="623">
        <v>2013</v>
      </c>
    </row>
    <row r="54" spans="3:9" ht="12.5">
      <c r="C54" s="4" t="s">
        <v>274</v>
      </c>
      <c r="D54" s="4">
        <v>26.08</v>
      </c>
      <c r="E54" s="4">
        <v>22.77</v>
      </c>
      <c r="F54" s="4">
        <v>24.76</v>
      </c>
      <c r="G54" s="4">
        <v>25.36</v>
      </c>
      <c r="H54" s="4">
        <v>26.25</v>
      </c>
      <c r="I54" s="4" t="s">
        <v>243</v>
      </c>
    </row>
    <row r="55" spans="3:9" ht="12.5">
      <c r="D55" s="4">
        <v>177996177</v>
      </c>
      <c r="E55" s="4">
        <v>155405405</v>
      </c>
      <c r="F55" s="4">
        <v>168987168</v>
      </c>
      <c r="G55" s="4">
        <v>173082173</v>
      </c>
      <c r="H55" s="4">
        <v>179156429</v>
      </c>
      <c r="I55" s="4" t="s">
        <v>171</v>
      </c>
    </row>
    <row r="56" spans="3:9" ht="12.5">
      <c r="D56" s="14">
        <v>2.4670000000000001</v>
      </c>
      <c r="E56" s="14">
        <v>2.992</v>
      </c>
      <c r="F56" s="14">
        <v>3.84</v>
      </c>
      <c r="G56" s="14">
        <v>3.968</v>
      </c>
      <c r="H56" s="14">
        <v>3.9220000000000002</v>
      </c>
      <c r="I56" s="4" t="s">
        <v>163</v>
      </c>
    </row>
    <row r="57" spans="3:9" ht="12.5">
      <c r="D57">
        <f t="shared" ref="D57:H57" si="5">D56*D55</f>
        <v>439116568.65900004</v>
      </c>
      <c r="E57">
        <f t="shared" si="5"/>
        <v>464972971.75999999</v>
      </c>
      <c r="F57">
        <f t="shared" si="5"/>
        <v>648910725.12</v>
      </c>
      <c r="G57">
        <f t="shared" si="5"/>
        <v>686790062.46399999</v>
      </c>
      <c r="H57">
        <f t="shared" si="5"/>
        <v>702651514.53799999</v>
      </c>
      <c r="I57" s="4" t="s">
        <v>164</v>
      </c>
    </row>
    <row r="59" spans="3:9" ht="12.5">
      <c r="C59" s="4" t="s">
        <v>280</v>
      </c>
      <c r="D59" s="4">
        <v>0.16</v>
      </c>
      <c r="E59" s="4">
        <v>0.17</v>
      </c>
      <c r="F59" s="4">
        <v>0.17</v>
      </c>
      <c r="G59" s="4">
        <v>0.18</v>
      </c>
      <c r="H59" s="4">
        <v>0.19</v>
      </c>
    </row>
    <row r="60" spans="3:9" ht="12.5">
      <c r="D60" s="4">
        <v>1214329</v>
      </c>
      <c r="E60" s="4">
        <v>1290224</v>
      </c>
      <c r="F60" s="4">
        <v>1290224</v>
      </c>
      <c r="G60" s="4">
        <v>1366120</v>
      </c>
      <c r="H60" s="4">
        <v>1442015</v>
      </c>
      <c r="I60" s="4" t="s">
        <v>171</v>
      </c>
    </row>
    <row r="61" spans="3:9" ht="12.5">
      <c r="D61" s="33">
        <v>2.35</v>
      </c>
      <c r="E61" s="29">
        <v>2.79</v>
      </c>
      <c r="F61" s="33">
        <v>3.53</v>
      </c>
      <c r="G61" s="29">
        <v>3.64</v>
      </c>
      <c r="H61" s="33">
        <v>3.53</v>
      </c>
      <c r="I61" s="4" t="s">
        <v>163</v>
      </c>
    </row>
    <row r="62" spans="3:9" ht="12.5">
      <c r="D62" s="838">
        <f t="shared" ref="D62:H62" si="6">D61*D60</f>
        <v>2853673.15</v>
      </c>
      <c r="E62" s="838">
        <f t="shared" si="6"/>
        <v>3599724.96</v>
      </c>
      <c r="F62" s="838">
        <f t="shared" si="6"/>
        <v>4554490.72</v>
      </c>
      <c r="G62" s="838">
        <f t="shared" si="6"/>
        <v>4972676.8</v>
      </c>
      <c r="H62" s="838">
        <f t="shared" si="6"/>
        <v>5090312.9499999993</v>
      </c>
      <c r="I62" s="4" t="s">
        <v>164</v>
      </c>
    </row>
    <row r="64" spans="3:9" ht="12.5">
      <c r="C64" s="4" t="s">
        <v>424</v>
      </c>
      <c r="D64" s="4">
        <v>0</v>
      </c>
      <c r="E64" s="4">
        <v>3.53</v>
      </c>
      <c r="F64" s="4">
        <v>3.99</v>
      </c>
      <c r="G64" s="4">
        <v>0.27</v>
      </c>
      <c r="H64" s="4">
        <v>0.28000000000000003</v>
      </c>
    </row>
    <row r="65" spans="3:13" ht="12.5">
      <c r="D65" s="4">
        <v>0</v>
      </c>
      <c r="E65" s="4">
        <v>24092274</v>
      </c>
      <c r="F65" s="4">
        <v>27231777</v>
      </c>
      <c r="G65" s="4">
        <v>1842751</v>
      </c>
      <c r="H65" s="4">
        <v>1911001</v>
      </c>
      <c r="I65" s="4" t="s">
        <v>171</v>
      </c>
    </row>
    <row r="66" spans="3:13" ht="15.5">
      <c r="D66" s="95">
        <v>1.65</v>
      </c>
      <c r="E66" s="95">
        <v>2.13</v>
      </c>
      <c r="F66" s="95">
        <v>2.95</v>
      </c>
      <c r="G66" s="95">
        <v>3.02</v>
      </c>
      <c r="H66" s="95">
        <v>2.92</v>
      </c>
      <c r="I66" s="4" t="s">
        <v>163</v>
      </c>
    </row>
    <row r="67" spans="3:13" ht="12.5">
      <c r="D67" s="183">
        <f t="shared" ref="D67:H67" si="7">D66*D65</f>
        <v>0</v>
      </c>
      <c r="E67" s="183">
        <f t="shared" si="7"/>
        <v>51316543.619999997</v>
      </c>
      <c r="F67" s="183">
        <f t="shared" si="7"/>
        <v>80333742.150000006</v>
      </c>
      <c r="G67" s="183">
        <f t="shared" si="7"/>
        <v>5565108.0200000005</v>
      </c>
      <c r="H67" s="183">
        <f t="shared" si="7"/>
        <v>5580122.9199999999</v>
      </c>
      <c r="I67" s="4" t="s">
        <v>164</v>
      </c>
    </row>
    <row r="69" spans="3:13" ht="12.5">
      <c r="D69" s="34">
        <f t="shared" ref="D69:H69" si="8">D55+D60+D65</f>
        <v>179210506</v>
      </c>
      <c r="E69" s="34">
        <f t="shared" si="8"/>
        <v>180787903</v>
      </c>
      <c r="F69" s="34">
        <f t="shared" si="8"/>
        <v>197509169</v>
      </c>
      <c r="G69" s="34">
        <f t="shared" si="8"/>
        <v>176291044</v>
      </c>
      <c r="H69" s="34">
        <f t="shared" si="8"/>
        <v>182509445</v>
      </c>
      <c r="I69" s="4" t="s">
        <v>819</v>
      </c>
    </row>
    <row r="70" spans="3:13" ht="12.5">
      <c r="D70" s="307">
        <f t="shared" ref="D70:H70" si="9">D57+D62+D67</f>
        <v>441970241.80900002</v>
      </c>
      <c r="E70" s="307">
        <f t="shared" si="9"/>
        <v>519889240.33999997</v>
      </c>
      <c r="F70" s="307">
        <f t="shared" si="9"/>
        <v>733798957.99000001</v>
      </c>
      <c r="G70" s="307">
        <f t="shared" si="9"/>
        <v>697327847.28399992</v>
      </c>
      <c r="H70" s="307">
        <f t="shared" si="9"/>
        <v>713321950.40799999</v>
      </c>
      <c r="I70" s="4" t="s">
        <v>830</v>
      </c>
    </row>
    <row r="75" spans="3:13" ht="15.5">
      <c r="C75" s="771">
        <v>2010</v>
      </c>
      <c r="E75" s="847">
        <v>3484000000</v>
      </c>
      <c r="F75" s="4" t="s">
        <v>79</v>
      </c>
      <c r="L75" s="34">
        <v>180787903</v>
      </c>
      <c r="M75" s="4" t="s">
        <v>154</v>
      </c>
    </row>
    <row r="76" spans="3:13" ht="12.5">
      <c r="E76" s="848" t="s">
        <v>1022</v>
      </c>
      <c r="L76" s="34">
        <v>519889240.33999997</v>
      </c>
      <c r="M76" s="4" t="s">
        <v>164</v>
      </c>
    </row>
    <row r="77" spans="3:13" ht="12.5">
      <c r="E77" s="781" t="s">
        <v>1023</v>
      </c>
      <c r="L77" s="4" t="s">
        <v>1024</v>
      </c>
      <c r="M77" s="54">
        <v>28000000</v>
      </c>
    </row>
    <row r="78" spans="3:13" ht="12.5">
      <c r="L78" s="849" t="s">
        <v>966</v>
      </c>
      <c r="M78" s="850">
        <f>28000000/E69</f>
        <v>0.15487761921769733</v>
      </c>
    </row>
    <row r="79" spans="3:13" ht="12.5">
      <c r="E79" s="477">
        <v>0.19</v>
      </c>
      <c r="F79" s="4" t="s">
        <v>1025</v>
      </c>
    </row>
    <row r="81" spans="3:29" ht="15.5">
      <c r="E81" s="851" t="s">
        <v>691</v>
      </c>
      <c r="F81" s="852"/>
      <c r="I81" s="853"/>
      <c r="J81" s="852"/>
      <c r="K81" s="854"/>
      <c r="L81" s="854"/>
      <c r="M81" s="853"/>
      <c r="N81" s="852"/>
      <c r="O81" s="854"/>
      <c r="P81" s="854"/>
      <c r="Q81" s="853"/>
      <c r="R81" s="852"/>
      <c r="S81" s="854"/>
      <c r="T81" s="854"/>
      <c r="U81" s="853"/>
      <c r="V81" s="852"/>
      <c r="W81" s="854"/>
      <c r="X81" s="854"/>
      <c r="Y81" s="853"/>
    </row>
    <row r="82" spans="3:29" ht="12.5">
      <c r="E82" s="855"/>
      <c r="F82" s="855"/>
      <c r="G82" s="1060" t="s">
        <v>973</v>
      </c>
      <c r="H82" s="996"/>
      <c r="I82" s="996"/>
      <c r="J82" s="996"/>
      <c r="K82" s="996"/>
      <c r="L82" s="996"/>
      <c r="M82" s="996"/>
      <c r="N82" s="996"/>
      <c r="O82" s="996"/>
      <c r="P82" s="996"/>
      <c r="Q82" s="855"/>
      <c r="R82" s="855"/>
      <c r="S82" s="1060" t="s">
        <v>1026</v>
      </c>
      <c r="T82" s="996"/>
      <c r="U82" s="996"/>
      <c r="V82" s="996"/>
      <c r="W82" s="996"/>
      <c r="X82" s="996"/>
      <c r="Y82" s="855"/>
    </row>
    <row r="83" spans="3:29" ht="12.5">
      <c r="E83" s="855"/>
      <c r="F83" s="855"/>
      <c r="G83" s="996"/>
      <c r="H83" s="996"/>
      <c r="I83" s="855"/>
      <c r="J83" s="855"/>
      <c r="K83" s="996"/>
      <c r="L83" s="996"/>
      <c r="M83" s="855"/>
      <c r="N83" s="855"/>
      <c r="O83" s="1060" t="s">
        <v>835</v>
      </c>
      <c r="P83" s="996"/>
      <c r="Q83" s="855"/>
      <c r="R83" s="855"/>
      <c r="S83" s="1060" t="s">
        <v>1027</v>
      </c>
      <c r="T83" s="996"/>
      <c r="U83" s="996"/>
      <c r="V83" s="996"/>
      <c r="W83" s="996"/>
      <c r="X83" s="996"/>
      <c r="Y83" s="855"/>
    </row>
    <row r="84" spans="3:29" ht="12.5">
      <c r="E84" s="855"/>
      <c r="F84" s="855"/>
      <c r="G84" s="1060">
        <v>2011</v>
      </c>
      <c r="H84" s="996"/>
      <c r="I84" s="855"/>
      <c r="J84" s="855"/>
      <c r="K84" s="1060">
        <v>2012</v>
      </c>
      <c r="L84" s="996"/>
      <c r="M84" s="855"/>
      <c r="N84" s="855"/>
      <c r="O84" s="1060" t="s">
        <v>976</v>
      </c>
      <c r="P84" s="996"/>
      <c r="Q84" s="855"/>
      <c r="R84" s="855"/>
      <c r="S84" s="1060">
        <v>2010</v>
      </c>
      <c r="T84" s="996"/>
      <c r="U84" s="855"/>
      <c r="V84" s="855"/>
      <c r="W84" s="1060">
        <v>2009</v>
      </c>
      <c r="X84" s="996"/>
      <c r="Y84" s="855"/>
    </row>
    <row r="85" spans="3:29" ht="12.5">
      <c r="E85" s="856"/>
    </row>
    <row r="86" spans="3:29" ht="12.5">
      <c r="E86" s="792" t="s">
        <v>1028</v>
      </c>
      <c r="F86" s="793"/>
      <c r="G86" s="794"/>
      <c r="H86" s="795"/>
      <c r="I86" s="794"/>
      <c r="J86" s="793"/>
      <c r="K86" s="794"/>
      <c r="L86" s="795"/>
      <c r="M86" s="794"/>
      <c r="N86" s="793"/>
      <c r="O86" s="794"/>
      <c r="P86" s="795"/>
      <c r="Q86" s="794"/>
      <c r="R86" s="793"/>
      <c r="S86" s="794"/>
      <c r="T86" s="795"/>
      <c r="U86" s="794"/>
      <c r="V86" s="793"/>
      <c r="W86" s="794"/>
      <c r="X86" s="795"/>
      <c r="Y86" s="794"/>
    </row>
    <row r="87" spans="3:29" ht="12.5">
      <c r="E87" s="857" t="s">
        <v>985</v>
      </c>
      <c r="F87" s="858"/>
      <c r="G87" s="859"/>
      <c r="H87" s="860">
        <v>21</v>
      </c>
      <c r="I87" s="859"/>
      <c r="J87" s="858"/>
      <c r="K87" s="859"/>
      <c r="L87" s="860">
        <v>7</v>
      </c>
      <c r="M87" s="859"/>
      <c r="N87" s="858"/>
      <c r="O87" s="859"/>
      <c r="P87" s="806">
        <v>28</v>
      </c>
      <c r="Q87" s="859"/>
      <c r="R87" s="858"/>
      <c r="S87" s="857" t="s">
        <v>296</v>
      </c>
      <c r="T87" s="860">
        <v>8</v>
      </c>
      <c r="U87" s="859"/>
      <c r="V87" s="858"/>
      <c r="W87" s="857" t="s">
        <v>296</v>
      </c>
      <c r="X87" s="860">
        <v>6</v>
      </c>
      <c r="Y87" s="859"/>
    </row>
    <row r="88" spans="3:29" ht="12.5">
      <c r="E88" s="792" t="s">
        <v>983</v>
      </c>
      <c r="F88" s="793"/>
      <c r="G88" s="794"/>
      <c r="H88" s="803">
        <v>2.2799999999999998</v>
      </c>
      <c r="I88" s="794"/>
      <c r="J88" s="793"/>
      <c r="K88" s="794"/>
      <c r="L88" s="803">
        <v>2.44</v>
      </c>
      <c r="M88" s="794"/>
      <c r="N88" s="793"/>
      <c r="O88" s="794"/>
      <c r="P88" s="803">
        <v>2.3199999999999998</v>
      </c>
      <c r="Q88" s="794"/>
      <c r="R88" s="793"/>
      <c r="S88" s="794"/>
      <c r="T88" s="795"/>
      <c r="U88" s="794"/>
      <c r="V88" s="793"/>
      <c r="W88" s="794"/>
      <c r="X88" s="795"/>
      <c r="Y88" s="794"/>
    </row>
    <row r="89" spans="3:29" ht="12.5">
      <c r="E89" s="857" t="s">
        <v>1031</v>
      </c>
      <c r="F89" s="858"/>
      <c r="G89" s="859"/>
      <c r="H89" s="860">
        <v>50</v>
      </c>
      <c r="I89" s="857" t="s">
        <v>523</v>
      </c>
      <c r="J89" s="858"/>
      <c r="K89" s="859"/>
      <c r="L89" s="860">
        <v>18</v>
      </c>
      <c r="M89" s="857" t="s">
        <v>523</v>
      </c>
      <c r="N89" s="858"/>
      <c r="O89" s="859"/>
      <c r="P89" s="860">
        <v>34</v>
      </c>
      <c r="Q89" s="857" t="s">
        <v>523</v>
      </c>
      <c r="R89" s="858"/>
    </row>
    <row r="94" spans="3:29" ht="15.5">
      <c r="C94" s="396">
        <v>2011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8"/>
    </row>
    <row r="95" spans="3:29" ht="12.5">
      <c r="C95" s="109"/>
      <c r="E95" s="275">
        <v>5200000</v>
      </c>
      <c r="F95" s="4" t="s">
        <v>965</v>
      </c>
      <c r="AC95" s="110"/>
    </row>
    <row r="96" spans="3:29" ht="12.5">
      <c r="C96" s="109"/>
      <c r="E96" s="275" t="s">
        <v>1032</v>
      </c>
      <c r="AC96" s="110"/>
    </row>
    <row r="97" spans="3:29" ht="12.5">
      <c r="C97" s="109"/>
      <c r="E97" s="782">
        <v>3890</v>
      </c>
      <c r="F97" s="4" t="s">
        <v>248</v>
      </c>
      <c r="AC97" s="110"/>
    </row>
    <row r="98" spans="3:29" ht="12.5">
      <c r="C98" s="109"/>
      <c r="E98" s="275" t="s">
        <v>1033</v>
      </c>
      <c r="AC98" s="110"/>
    </row>
    <row r="99" spans="3:29" ht="12.5">
      <c r="C99" s="109"/>
      <c r="AC99" s="110"/>
    </row>
    <row r="100" spans="3:29" ht="12.5">
      <c r="C100" s="109"/>
      <c r="E100">
        <v>197509169</v>
      </c>
      <c r="F100" s="4" t="s">
        <v>154</v>
      </c>
      <c r="AC100" s="110"/>
    </row>
    <row r="101" spans="3:29" ht="12.5">
      <c r="C101" s="109"/>
      <c r="E101">
        <v>733798957.99000001</v>
      </c>
      <c r="F101" s="4" t="s">
        <v>164</v>
      </c>
      <c r="I101" s="4" t="s">
        <v>258</v>
      </c>
      <c r="J101" s="54">
        <v>39000000</v>
      </c>
      <c r="K101" s="4" t="s">
        <v>154</v>
      </c>
      <c r="AC101" s="110"/>
    </row>
    <row r="102" spans="3:29" ht="12.5">
      <c r="C102" s="109"/>
      <c r="I102" s="4" t="s">
        <v>1034</v>
      </c>
      <c r="J102" s="34">
        <f>J101/E100</f>
        <v>0.1974591873251211</v>
      </c>
      <c r="AC102" s="110"/>
    </row>
    <row r="103" spans="3:29" ht="13">
      <c r="C103" s="109"/>
      <c r="E103" s="519" t="s">
        <v>1011</v>
      </c>
      <c r="F103" s="360"/>
      <c r="G103" s="182"/>
      <c r="H103" s="182"/>
      <c r="I103" s="182"/>
      <c r="J103" s="360"/>
      <c r="K103" s="182"/>
      <c r="L103" s="182"/>
      <c r="M103" s="182"/>
      <c r="N103" s="360"/>
      <c r="O103" s="182"/>
      <c r="P103" s="182"/>
      <c r="Q103" s="182"/>
      <c r="R103" s="360"/>
      <c r="S103" s="182"/>
      <c r="T103" s="182"/>
      <c r="U103" s="182"/>
      <c r="V103" s="360"/>
      <c r="W103" s="182"/>
      <c r="X103" s="182"/>
      <c r="Y103" s="182"/>
      <c r="Z103" s="360"/>
      <c r="AA103" s="182"/>
      <c r="AB103" s="182"/>
      <c r="AC103" s="863"/>
    </row>
    <row r="104" spans="3:29" ht="13">
      <c r="C104" s="109"/>
      <c r="E104" s="360"/>
      <c r="F104" s="360"/>
      <c r="G104" s="1058" t="s">
        <v>973</v>
      </c>
      <c r="H104" s="996"/>
      <c r="I104" s="996"/>
      <c r="J104" s="996"/>
      <c r="K104" s="996"/>
      <c r="L104" s="996"/>
      <c r="M104" s="996"/>
      <c r="N104" s="996"/>
      <c r="O104" s="996"/>
      <c r="P104" s="996"/>
      <c r="Q104" s="996"/>
      <c r="R104" s="996"/>
      <c r="S104" s="996"/>
      <c r="T104" s="996"/>
      <c r="U104" s="360"/>
      <c r="V104" s="360"/>
      <c r="W104" s="1058" t="s">
        <v>1026</v>
      </c>
      <c r="X104" s="996"/>
      <c r="Y104" s="996"/>
      <c r="Z104" s="996"/>
      <c r="AA104" s="996"/>
      <c r="AB104" s="996"/>
      <c r="AC104" s="864"/>
    </row>
    <row r="105" spans="3:29" ht="13">
      <c r="C105" s="109"/>
      <c r="E105" s="360"/>
      <c r="F105" s="360"/>
      <c r="G105" s="1058">
        <v>2012</v>
      </c>
      <c r="H105" s="996"/>
      <c r="I105" s="360"/>
      <c r="J105" s="360"/>
      <c r="K105" s="1058">
        <v>2013</v>
      </c>
      <c r="L105" s="996"/>
      <c r="M105" s="360"/>
      <c r="N105" s="360"/>
      <c r="O105" s="1058">
        <v>2014</v>
      </c>
      <c r="P105" s="996"/>
      <c r="Q105" s="360"/>
      <c r="R105" s="360"/>
      <c r="S105" s="1058" t="s">
        <v>1044</v>
      </c>
      <c r="T105" s="996"/>
      <c r="U105" s="360"/>
      <c r="V105" s="360"/>
      <c r="W105" s="1058" t="s">
        <v>1046</v>
      </c>
      <c r="X105" s="996"/>
      <c r="Y105" s="996"/>
      <c r="Z105" s="996"/>
      <c r="AA105" s="996"/>
      <c r="AB105" s="996"/>
      <c r="AC105" s="864"/>
    </row>
    <row r="106" spans="3:29" ht="13">
      <c r="C106" s="109"/>
      <c r="E106" s="261" t="s">
        <v>1028</v>
      </c>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866"/>
    </row>
    <row r="107" spans="3:29" ht="13">
      <c r="C107" s="109"/>
      <c r="E107" s="265" t="s">
        <v>985</v>
      </c>
      <c r="F107" s="360"/>
      <c r="G107" s="360"/>
      <c r="H107" s="636">
        <v>25</v>
      </c>
      <c r="I107" s="360"/>
      <c r="J107" s="360"/>
      <c r="K107" s="360"/>
      <c r="L107" s="636">
        <v>11</v>
      </c>
      <c r="M107" s="360"/>
      <c r="N107" s="360"/>
      <c r="O107" s="360"/>
      <c r="P107" s="636">
        <v>3</v>
      </c>
      <c r="Q107" s="360"/>
      <c r="R107" s="360"/>
      <c r="S107" s="360"/>
      <c r="T107" s="636">
        <v>39</v>
      </c>
      <c r="U107" s="360"/>
      <c r="V107" s="360"/>
      <c r="W107" s="867" t="s">
        <v>296</v>
      </c>
      <c r="X107" s="636">
        <v>1</v>
      </c>
      <c r="Y107" s="360"/>
      <c r="Z107" s="360"/>
      <c r="AA107" s="867" t="s">
        <v>296</v>
      </c>
      <c r="AB107" s="636">
        <v>8</v>
      </c>
      <c r="AC107" s="864"/>
    </row>
    <row r="108" spans="3:29" ht="13">
      <c r="C108" s="109"/>
      <c r="E108" s="261" t="s">
        <v>983</v>
      </c>
      <c r="F108" s="361"/>
      <c r="G108" s="361"/>
      <c r="H108" s="868">
        <v>2.81</v>
      </c>
      <c r="I108" s="361"/>
      <c r="J108" s="361"/>
      <c r="K108" s="361"/>
      <c r="L108" s="868">
        <v>2.9</v>
      </c>
      <c r="M108" s="361"/>
      <c r="N108" s="361"/>
      <c r="O108" s="361"/>
      <c r="P108" s="868">
        <v>2.82</v>
      </c>
      <c r="Q108" s="361"/>
      <c r="R108" s="361"/>
      <c r="S108" s="361"/>
      <c r="T108" s="868">
        <v>2.84</v>
      </c>
      <c r="U108" s="361"/>
      <c r="V108" s="361"/>
      <c r="W108" s="361"/>
      <c r="X108" s="361"/>
      <c r="Y108" s="361"/>
      <c r="Z108" s="361"/>
      <c r="AA108" s="361"/>
      <c r="AB108" s="361"/>
      <c r="AC108" s="866"/>
    </row>
    <row r="109" spans="3:29" ht="13">
      <c r="C109" s="109"/>
      <c r="E109" s="265" t="s">
        <v>1031</v>
      </c>
      <c r="F109" s="360"/>
      <c r="G109" s="360"/>
      <c r="H109" s="636">
        <v>56</v>
      </c>
      <c r="I109" s="867" t="s">
        <v>523</v>
      </c>
      <c r="J109" s="360"/>
      <c r="K109" s="360"/>
      <c r="L109" s="636">
        <v>24</v>
      </c>
      <c r="M109" s="867" t="s">
        <v>523</v>
      </c>
      <c r="N109" s="360"/>
      <c r="O109" s="360"/>
      <c r="P109" s="636">
        <v>7</v>
      </c>
      <c r="Q109" s="867" t="s">
        <v>523</v>
      </c>
      <c r="AC109" s="110"/>
    </row>
    <row r="110" spans="3:29" ht="12.5">
      <c r="C110" s="113"/>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5"/>
    </row>
    <row r="113" spans="3:28" ht="15.5">
      <c r="C113" s="396">
        <v>2012</v>
      </c>
      <c r="E113" s="275">
        <v>5000000</v>
      </c>
      <c r="F113" s="4" t="s">
        <v>1052</v>
      </c>
    </row>
    <row r="114" spans="3:28" ht="12.5">
      <c r="E114" s="275" t="s">
        <v>1053</v>
      </c>
    </row>
    <row r="115" spans="3:28" ht="13">
      <c r="E115" s="639">
        <v>4238</v>
      </c>
      <c r="F115" s="366" t="s">
        <v>248</v>
      </c>
    </row>
    <row r="116" spans="3:28" ht="12.5">
      <c r="E116" s="275" t="s">
        <v>1054</v>
      </c>
    </row>
    <row r="118" spans="3:28" ht="12.5">
      <c r="E118" s="34">
        <v>176291044</v>
      </c>
      <c r="F118" s="4" t="s">
        <v>154</v>
      </c>
    </row>
    <row r="119" spans="3:28" ht="12.5">
      <c r="E119" s="34">
        <v>697327847.28399992</v>
      </c>
      <c r="F119" s="4" t="s">
        <v>164</v>
      </c>
    </row>
    <row r="120" spans="3:28" ht="13">
      <c r="D120" s="869" t="s">
        <v>1055</v>
      </c>
      <c r="I120" s="4" t="s">
        <v>258</v>
      </c>
      <c r="J120" s="4">
        <v>45000000</v>
      </c>
      <c r="K120" s="4" t="s">
        <v>154</v>
      </c>
    </row>
    <row r="121" spans="3:28" ht="15.5">
      <c r="D121" s="870"/>
      <c r="J121" s="34">
        <f>J120/E118</f>
        <v>0.25525970564902889</v>
      </c>
    </row>
    <row r="122" spans="3:28" ht="12.5">
      <c r="D122" s="275" t="s">
        <v>1058</v>
      </c>
    </row>
    <row r="123" spans="3:28" ht="12.5">
      <c r="D123" s="871"/>
      <c r="E123" s="872"/>
      <c r="F123" s="871"/>
      <c r="G123" s="871"/>
      <c r="H123" s="871"/>
      <c r="I123" s="872"/>
      <c r="J123" s="871"/>
      <c r="K123" s="871"/>
      <c r="L123" s="871"/>
      <c r="M123" s="872"/>
      <c r="N123" s="871"/>
      <c r="O123" s="871"/>
      <c r="P123" s="871"/>
      <c r="Q123" s="872"/>
      <c r="R123" s="871"/>
      <c r="S123" s="871"/>
      <c r="T123" s="871"/>
      <c r="U123" s="872"/>
      <c r="V123" s="871"/>
      <c r="W123" s="871"/>
      <c r="X123" s="871"/>
      <c r="Y123" s="872"/>
      <c r="Z123" s="871"/>
      <c r="AA123" s="871"/>
      <c r="AB123" s="871"/>
    </row>
    <row r="124" spans="3:28" ht="12.5">
      <c r="D124" s="872"/>
      <c r="E124" s="872"/>
      <c r="F124" s="1059" t="s">
        <v>973</v>
      </c>
      <c r="G124" s="996"/>
      <c r="H124" s="996"/>
      <c r="I124" s="996"/>
      <c r="J124" s="996"/>
      <c r="K124" s="996"/>
      <c r="L124" s="996"/>
      <c r="M124" s="996"/>
      <c r="N124" s="996"/>
      <c r="O124" s="996"/>
      <c r="P124" s="996"/>
      <c r="Q124" s="996"/>
      <c r="R124" s="996"/>
      <c r="S124" s="996"/>
      <c r="T124" s="872"/>
      <c r="U124" s="872"/>
      <c r="V124" s="1059" t="s">
        <v>1026</v>
      </c>
      <c r="W124" s="996"/>
      <c r="X124" s="996"/>
      <c r="Y124" s="996"/>
      <c r="Z124" s="996"/>
      <c r="AA124" s="996"/>
      <c r="AB124" s="872"/>
    </row>
    <row r="125" spans="3:28" ht="12.5">
      <c r="D125" s="872"/>
      <c r="E125" s="872"/>
      <c r="F125" s="996"/>
      <c r="G125" s="996"/>
      <c r="H125" s="872"/>
      <c r="I125" s="872"/>
      <c r="J125" s="996"/>
      <c r="K125" s="996"/>
      <c r="L125" s="872"/>
      <c r="M125" s="872"/>
      <c r="N125" s="996"/>
      <c r="O125" s="996"/>
      <c r="P125" s="872"/>
      <c r="Q125" s="872"/>
      <c r="R125" s="1059" t="s">
        <v>835</v>
      </c>
      <c r="S125" s="996"/>
      <c r="T125" s="872"/>
      <c r="U125" s="872"/>
      <c r="V125" s="1059" t="s">
        <v>1027</v>
      </c>
      <c r="W125" s="996"/>
      <c r="X125" s="996"/>
      <c r="Y125" s="996"/>
      <c r="Z125" s="996"/>
      <c r="AA125" s="996"/>
      <c r="AB125" s="872"/>
    </row>
    <row r="126" spans="3:28" ht="12.5">
      <c r="D126" s="872"/>
      <c r="E126" s="872"/>
      <c r="F126" s="1059">
        <v>2013</v>
      </c>
      <c r="G126" s="996"/>
      <c r="H126" s="872"/>
      <c r="I126" s="872"/>
      <c r="J126" s="1059">
        <v>2014</v>
      </c>
      <c r="K126" s="996"/>
      <c r="L126" s="872"/>
      <c r="M126" s="872"/>
      <c r="N126" s="1059">
        <v>2015</v>
      </c>
      <c r="O126" s="996"/>
      <c r="P126" s="872"/>
      <c r="Q126" s="872"/>
      <c r="R126" s="1059" t="s">
        <v>976</v>
      </c>
      <c r="S126" s="996"/>
      <c r="T126" s="872"/>
      <c r="U126" s="872"/>
      <c r="V126" s="1059">
        <v>2012</v>
      </c>
      <c r="W126" s="996"/>
      <c r="X126" s="872"/>
      <c r="Y126" s="872"/>
      <c r="Z126" s="1059">
        <v>2011</v>
      </c>
      <c r="AA126" s="996"/>
      <c r="AB126" s="872"/>
    </row>
    <row r="127" spans="3:28" ht="12.5">
      <c r="D127" s="873" t="s">
        <v>1028</v>
      </c>
      <c r="E127" s="874"/>
      <c r="F127" s="874"/>
      <c r="G127" s="874"/>
      <c r="H127" s="874"/>
      <c r="I127" s="874"/>
      <c r="J127" s="874"/>
      <c r="K127" s="874"/>
      <c r="L127" s="874"/>
      <c r="M127" s="874"/>
      <c r="N127" s="874"/>
      <c r="O127" s="874"/>
      <c r="P127" s="874"/>
      <c r="Q127" s="874"/>
      <c r="R127" s="874"/>
      <c r="S127" s="874"/>
      <c r="T127" s="874"/>
      <c r="U127" s="874"/>
      <c r="V127" s="874"/>
      <c r="W127" s="874"/>
      <c r="X127" s="874"/>
      <c r="Y127" s="874"/>
      <c r="Z127" s="874"/>
      <c r="AA127" s="874"/>
      <c r="AB127" s="874"/>
    </row>
    <row r="128" spans="3:28" ht="12.5">
      <c r="D128" s="875" t="s">
        <v>985</v>
      </c>
      <c r="E128" s="872"/>
      <c r="F128" s="872"/>
      <c r="G128" s="876">
        <v>26</v>
      </c>
      <c r="H128" s="872"/>
      <c r="I128" s="872"/>
      <c r="J128" s="872"/>
      <c r="K128" s="876">
        <v>15</v>
      </c>
      <c r="L128" s="872"/>
      <c r="M128" s="872"/>
      <c r="N128" s="872"/>
      <c r="O128" s="876">
        <v>4</v>
      </c>
      <c r="P128" s="872"/>
      <c r="Q128" s="872"/>
      <c r="R128" s="872"/>
      <c r="S128" s="876">
        <v>45</v>
      </c>
      <c r="T128" s="872"/>
      <c r="U128" s="872"/>
      <c r="V128" s="877" t="s">
        <v>296</v>
      </c>
      <c r="W128" s="876">
        <v>1</v>
      </c>
      <c r="X128" s="872"/>
      <c r="Y128" s="872"/>
      <c r="Z128" s="877" t="s">
        <v>296</v>
      </c>
      <c r="AA128" s="876">
        <v>1</v>
      </c>
      <c r="AB128" s="872"/>
    </row>
    <row r="129" spans="3:28" ht="12.5">
      <c r="D129" s="873" t="s">
        <v>983</v>
      </c>
      <c r="E129" s="874"/>
      <c r="F129" s="874"/>
      <c r="G129" s="878">
        <v>2.93</v>
      </c>
      <c r="H129" s="874"/>
      <c r="I129" s="874"/>
      <c r="J129" s="874"/>
      <c r="K129" s="878">
        <v>2.87</v>
      </c>
      <c r="L129" s="874"/>
      <c r="M129" s="874"/>
      <c r="N129" s="874"/>
      <c r="O129" s="878">
        <v>2.79</v>
      </c>
      <c r="P129" s="874"/>
      <c r="Q129" s="874"/>
      <c r="R129" s="874"/>
      <c r="S129" s="878">
        <v>2.9</v>
      </c>
      <c r="T129" s="874"/>
      <c r="U129" s="874"/>
      <c r="V129" s="874"/>
      <c r="W129" s="874"/>
      <c r="X129" s="874"/>
      <c r="Y129" s="874"/>
      <c r="Z129" s="874"/>
      <c r="AA129" s="874"/>
      <c r="AB129" s="874"/>
    </row>
    <row r="130" spans="3:28" ht="12.5">
      <c r="D130" s="875" t="s">
        <v>1031</v>
      </c>
    </row>
    <row r="134" spans="3:28" ht="15.5">
      <c r="C134" s="396">
        <v>2013</v>
      </c>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8"/>
    </row>
    <row r="135" spans="3:28" ht="12.5">
      <c r="C135" s="109"/>
      <c r="E135" s="34">
        <v>182509445</v>
      </c>
      <c r="F135" s="4" t="s">
        <v>154</v>
      </c>
      <c r="AB135" s="110"/>
    </row>
    <row r="136" spans="3:28" ht="12.5">
      <c r="C136" s="109"/>
      <c r="E136" s="34">
        <v>713321950.40799999</v>
      </c>
      <c r="F136" s="4" t="s">
        <v>164</v>
      </c>
      <c r="AB136" s="110"/>
    </row>
    <row r="137" spans="3:28" ht="12.5">
      <c r="C137" s="109"/>
      <c r="K137" s="4" t="s">
        <v>258</v>
      </c>
      <c r="L137" s="4">
        <v>44000000</v>
      </c>
      <c r="M137" s="4" t="s">
        <v>154</v>
      </c>
      <c r="AB137" s="110"/>
    </row>
    <row r="138" spans="3:28" ht="12.5">
      <c r="C138" s="109"/>
      <c r="E138" s="275">
        <v>5100000</v>
      </c>
      <c r="F138" s="4" t="s">
        <v>1067</v>
      </c>
      <c r="L138" s="34">
        <f>L137/E135</f>
        <v>0.24108341351868118</v>
      </c>
      <c r="M138" s="4" t="s">
        <v>1034</v>
      </c>
      <c r="AB138" s="110"/>
    </row>
    <row r="139" spans="3:28" ht="12.5">
      <c r="C139" s="109"/>
      <c r="E139" s="275" t="s">
        <v>1068</v>
      </c>
      <c r="AB139" s="110"/>
    </row>
    <row r="140" spans="3:28" ht="13">
      <c r="C140" s="109"/>
      <c r="E140" s="527">
        <v>5186</v>
      </c>
      <c r="F140" s="180" t="s">
        <v>248</v>
      </c>
      <c r="AB140" s="110"/>
    </row>
    <row r="141" spans="3:28" ht="12.5">
      <c r="C141" s="109"/>
      <c r="E141" s="275" t="s">
        <v>1070</v>
      </c>
      <c r="AB141" s="110"/>
    </row>
    <row r="142" spans="3:28" ht="12.5">
      <c r="C142" s="109"/>
      <c r="AB142" s="110"/>
    </row>
    <row r="143" spans="3:28" ht="13">
      <c r="C143" s="109"/>
      <c r="E143" s="869" t="s">
        <v>1055</v>
      </c>
      <c r="AB143" s="110"/>
    </row>
    <row r="144" spans="3:28" ht="15.5">
      <c r="C144" s="109"/>
      <c r="E144" s="870"/>
      <c r="AB144" s="110"/>
    </row>
    <row r="145" spans="3:29" ht="12.5">
      <c r="C145" s="109"/>
      <c r="E145" s="275" t="s">
        <v>1071</v>
      </c>
      <c r="AB145" s="110"/>
    </row>
    <row r="146" spans="3:29" ht="12.5">
      <c r="C146" s="109"/>
      <c r="E146" s="881"/>
      <c r="F146" s="883"/>
      <c r="G146" s="881"/>
      <c r="H146" s="881"/>
      <c r="I146" s="881"/>
      <c r="J146" s="883"/>
      <c r="K146" s="881"/>
      <c r="L146" s="881"/>
      <c r="M146" s="881"/>
      <c r="N146" s="883"/>
      <c r="O146" s="881"/>
      <c r="P146" s="881"/>
      <c r="Q146" s="881"/>
      <c r="R146" s="883"/>
      <c r="S146" s="881"/>
      <c r="T146" s="881"/>
      <c r="U146" s="881"/>
      <c r="V146" s="883"/>
      <c r="W146" s="881"/>
      <c r="X146" s="881"/>
      <c r="Y146" s="881"/>
      <c r="Z146" s="883"/>
      <c r="AA146" s="881"/>
      <c r="AB146" s="885"/>
      <c r="AC146" s="881"/>
    </row>
    <row r="147" spans="3:29" ht="12.5">
      <c r="C147" s="109"/>
      <c r="E147" s="883"/>
      <c r="F147" s="883"/>
      <c r="G147" s="1059" t="s">
        <v>973</v>
      </c>
      <c r="H147" s="996"/>
      <c r="I147" s="996"/>
      <c r="J147" s="996"/>
      <c r="K147" s="996"/>
      <c r="L147" s="996"/>
      <c r="M147" s="996"/>
      <c r="N147" s="996"/>
      <c r="O147" s="996"/>
      <c r="P147" s="996"/>
      <c r="Q147" s="996"/>
      <c r="R147" s="996"/>
      <c r="S147" s="996"/>
      <c r="T147" s="996"/>
      <c r="U147" s="883"/>
      <c r="V147" s="883"/>
      <c r="W147" s="1059" t="s">
        <v>1026</v>
      </c>
      <c r="X147" s="996"/>
      <c r="Y147" s="996"/>
      <c r="Z147" s="996"/>
      <c r="AA147" s="996"/>
      <c r="AB147" s="998"/>
      <c r="AC147" s="883"/>
    </row>
    <row r="148" spans="3:29" ht="12.5">
      <c r="C148" s="109"/>
      <c r="E148" s="883"/>
      <c r="F148" s="883"/>
      <c r="G148" s="996"/>
      <c r="H148" s="996"/>
      <c r="I148" s="883"/>
      <c r="J148" s="883"/>
      <c r="K148" s="996"/>
      <c r="L148" s="996"/>
      <c r="M148" s="883"/>
      <c r="N148" s="883"/>
      <c r="O148" s="996"/>
      <c r="P148" s="996"/>
      <c r="Q148" s="883"/>
      <c r="R148" s="883"/>
      <c r="S148" s="1059" t="s">
        <v>835</v>
      </c>
      <c r="T148" s="996"/>
      <c r="U148" s="883"/>
      <c r="V148" s="883"/>
      <c r="W148" s="1059" t="s">
        <v>1027</v>
      </c>
      <c r="X148" s="996"/>
      <c r="Y148" s="996"/>
      <c r="Z148" s="996"/>
      <c r="AA148" s="996"/>
      <c r="AB148" s="998"/>
      <c r="AC148" s="883"/>
    </row>
    <row r="149" spans="3:29" ht="12.5">
      <c r="C149" s="109"/>
      <c r="E149" s="883"/>
      <c r="F149" s="883"/>
      <c r="G149" s="1059">
        <v>2014</v>
      </c>
      <c r="H149" s="996"/>
      <c r="I149" s="883"/>
      <c r="J149" s="883"/>
      <c r="K149" s="1059">
        <v>2015</v>
      </c>
      <c r="L149" s="996"/>
      <c r="M149" s="883"/>
      <c r="N149" s="883"/>
      <c r="O149" s="1059">
        <v>2016</v>
      </c>
      <c r="P149" s="996"/>
      <c r="Q149" s="883"/>
      <c r="R149" s="883"/>
      <c r="S149" s="1059" t="s">
        <v>976</v>
      </c>
      <c r="T149" s="996"/>
      <c r="U149" s="883"/>
      <c r="V149" s="883"/>
      <c r="W149" s="1059">
        <v>2013</v>
      </c>
      <c r="X149" s="996"/>
      <c r="Y149" s="883"/>
      <c r="Z149" s="883"/>
      <c r="AA149" s="1059">
        <v>2012</v>
      </c>
      <c r="AB149" s="998"/>
      <c r="AC149" s="883"/>
    </row>
    <row r="150" spans="3:29" ht="12.5">
      <c r="C150" s="109"/>
      <c r="E150" s="873" t="s">
        <v>1028</v>
      </c>
      <c r="F150" s="886"/>
      <c r="G150" s="886"/>
      <c r="H150" s="886"/>
      <c r="I150" s="886"/>
      <c r="J150" s="886"/>
      <c r="K150" s="886"/>
      <c r="L150" s="886"/>
      <c r="M150" s="886"/>
      <c r="N150" s="886"/>
      <c r="O150" s="886"/>
      <c r="P150" s="886"/>
      <c r="Q150" s="886"/>
      <c r="R150" s="886"/>
      <c r="S150" s="886"/>
      <c r="T150" s="886"/>
      <c r="U150" s="886"/>
      <c r="V150" s="886"/>
      <c r="W150" s="886"/>
      <c r="X150" s="886"/>
      <c r="Y150" s="886"/>
      <c r="Z150" s="886"/>
      <c r="AA150" s="886"/>
      <c r="AB150" s="887"/>
      <c r="AC150" s="886"/>
    </row>
    <row r="151" spans="3:29" ht="12.5">
      <c r="C151" s="109"/>
      <c r="E151" s="875" t="s">
        <v>985</v>
      </c>
      <c r="F151" s="883"/>
      <c r="G151" s="883"/>
      <c r="H151" s="876">
        <v>24</v>
      </c>
      <c r="I151" s="883"/>
      <c r="J151" s="883"/>
      <c r="K151" s="883"/>
      <c r="L151" s="876">
        <v>14</v>
      </c>
      <c r="M151" s="883"/>
      <c r="N151" s="883"/>
      <c r="O151" s="883"/>
      <c r="P151" s="876">
        <v>6</v>
      </c>
      <c r="Q151" s="883"/>
      <c r="R151" s="883"/>
      <c r="S151" s="883"/>
      <c r="T151" s="876">
        <v>44</v>
      </c>
      <c r="U151" s="883"/>
      <c r="V151" s="883"/>
      <c r="W151" s="877" t="s">
        <v>296</v>
      </c>
      <c r="X151" s="876">
        <v>4</v>
      </c>
      <c r="Y151" s="883"/>
      <c r="Z151" s="883"/>
      <c r="AA151" s="877" t="s">
        <v>296</v>
      </c>
      <c r="AB151" s="888">
        <v>1</v>
      </c>
      <c r="AC151" s="883"/>
    </row>
    <row r="152" spans="3:29" ht="12.5">
      <c r="C152" s="109"/>
      <c r="E152" s="873" t="s">
        <v>983</v>
      </c>
      <c r="F152" s="886"/>
      <c r="G152" s="886"/>
      <c r="H152" s="878">
        <v>2.87</v>
      </c>
      <c r="I152" s="886"/>
      <c r="J152" s="886"/>
      <c r="K152" s="886"/>
      <c r="L152" s="878">
        <v>2.77</v>
      </c>
      <c r="M152" s="886"/>
      <c r="N152" s="886"/>
      <c r="O152" s="886"/>
      <c r="P152" s="878">
        <v>2.69</v>
      </c>
      <c r="Q152" s="886"/>
      <c r="R152" s="886"/>
      <c r="S152" s="886"/>
      <c r="T152" s="878">
        <v>2.82</v>
      </c>
      <c r="U152" s="886"/>
      <c r="V152" s="886"/>
      <c r="W152" s="886"/>
      <c r="X152" s="886"/>
      <c r="Y152" s="886"/>
      <c r="Z152" s="886"/>
      <c r="AA152" s="886"/>
      <c r="AB152" s="887"/>
      <c r="AC152" s="886"/>
    </row>
    <row r="153" spans="3:29" ht="12.5">
      <c r="C153" s="109"/>
      <c r="E153" s="875" t="s">
        <v>1031</v>
      </c>
      <c r="F153" s="883"/>
      <c r="G153" s="883"/>
      <c r="H153" s="876">
        <v>62</v>
      </c>
      <c r="I153" s="877" t="s">
        <v>523</v>
      </c>
      <c r="J153" s="883"/>
      <c r="K153" s="883"/>
      <c r="L153" s="876">
        <v>36</v>
      </c>
      <c r="M153" s="877" t="s">
        <v>523</v>
      </c>
      <c r="N153" s="883"/>
      <c r="O153" s="883"/>
      <c r="P153" s="876">
        <v>14</v>
      </c>
      <c r="Q153" s="877" t="s">
        <v>523</v>
      </c>
      <c r="R153" s="883"/>
      <c r="S153" s="883"/>
      <c r="T153" s="883"/>
      <c r="U153" s="883"/>
      <c r="V153" s="883"/>
      <c r="W153" s="883"/>
      <c r="X153" s="883"/>
      <c r="Y153" s="883"/>
      <c r="Z153" s="883"/>
      <c r="AA153" s="883"/>
      <c r="AB153" s="889"/>
      <c r="AC153" s="883"/>
    </row>
    <row r="154" spans="3:29" ht="15.5">
      <c r="C154" s="109"/>
      <c r="E154" s="870"/>
      <c r="AB154" s="110"/>
    </row>
    <row r="155" spans="3:29" ht="13">
      <c r="C155" s="113"/>
      <c r="D155" s="114"/>
      <c r="E155" s="890" t="s">
        <v>1081</v>
      </c>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5"/>
    </row>
    <row r="158" spans="3:29" ht="15.5">
      <c r="C158" s="396">
        <v>2014</v>
      </c>
      <c r="D158" s="107"/>
      <c r="E158" s="173">
        <v>4845</v>
      </c>
      <c r="F158" s="106" t="s">
        <v>311</v>
      </c>
      <c r="G158" s="107"/>
      <c r="H158" s="107"/>
      <c r="I158" s="107"/>
      <c r="J158" s="107"/>
      <c r="K158" s="107"/>
      <c r="L158" s="107"/>
      <c r="M158" s="108"/>
    </row>
    <row r="159" spans="3:29" ht="12.5">
      <c r="C159" s="109"/>
      <c r="E159" s="225" t="s">
        <v>1084</v>
      </c>
      <c r="M159" s="110"/>
    </row>
    <row r="160" spans="3:29" ht="12.5">
      <c r="C160" s="109"/>
      <c r="E160" s="782">
        <v>4457</v>
      </c>
      <c r="F160" s="4" t="s">
        <v>248</v>
      </c>
      <c r="M160" s="110"/>
    </row>
    <row r="161" spans="3:13" ht="12.5">
      <c r="C161" s="109"/>
      <c r="E161" s="4" t="s">
        <v>1085</v>
      </c>
      <c r="M161" s="110"/>
    </row>
    <row r="162" spans="3:13" ht="12.5">
      <c r="C162" s="109"/>
      <c r="E162" s="225" t="s">
        <v>1084</v>
      </c>
      <c r="M162" s="110"/>
    </row>
    <row r="163" spans="3:13" ht="12.5">
      <c r="C163" s="109"/>
      <c r="M163" s="110"/>
    </row>
    <row r="164" spans="3:13" ht="12.5">
      <c r="C164" s="109"/>
      <c r="M164" s="110"/>
    </row>
    <row r="165" spans="3:13" ht="12.5">
      <c r="C165" s="109"/>
      <c r="E165" s="4" t="s">
        <v>1086</v>
      </c>
      <c r="F165" s="4">
        <v>39000000</v>
      </c>
      <c r="G165" s="4" t="s">
        <v>171</v>
      </c>
      <c r="I165" s="34">
        <v>156369110</v>
      </c>
      <c r="M165" s="110"/>
    </row>
    <row r="166" spans="3:13" ht="12.5">
      <c r="C166" s="109"/>
      <c r="E166" s="4" t="s">
        <v>258</v>
      </c>
      <c r="F166">
        <f>F165/I165</f>
        <v>0.24940987385552044</v>
      </c>
      <c r="I166" s="34">
        <v>596217245.09000015</v>
      </c>
      <c r="M166" s="110"/>
    </row>
    <row r="167" spans="3:13" ht="12.5">
      <c r="C167" s="109"/>
      <c r="M167" s="110"/>
    </row>
    <row r="168" spans="3:13" ht="12.5">
      <c r="C168" s="109"/>
      <c r="M168" s="110"/>
    </row>
    <row r="169" spans="3:13" ht="12.5">
      <c r="C169" s="113"/>
      <c r="D169" s="114"/>
      <c r="E169" s="114"/>
      <c r="F169" s="114"/>
      <c r="G169" s="114"/>
      <c r="H169" s="114"/>
      <c r="I169" s="114"/>
      <c r="J169" s="114"/>
      <c r="K169" s="114"/>
      <c r="L169" s="114"/>
      <c r="M169" s="115"/>
    </row>
    <row r="171" spans="3:13" ht="12.5">
      <c r="C171" s="105">
        <v>2015</v>
      </c>
      <c r="D171" s="107"/>
      <c r="E171" s="891" t="s">
        <v>1090</v>
      </c>
      <c r="F171" s="107"/>
      <c r="G171" s="107"/>
      <c r="H171" s="107"/>
      <c r="I171" s="107"/>
      <c r="J171" s="107"/>
      <c r="K171" s="107"/>
      <c r="L171" s="107"/>
      <c r="M171" s="108"/>
    </row>
    <row r="172" spans="3:13" ht="12.5">
      <c r="C172" s="109"/>
      <c r="E172" s="892" t="s">
        <v>1091</v>
      </c>
      <c r="M172" s="110"/>
    </row>
    <row r="173" spans="3:13" ht="12.5">
      <c r="C173" s="109"/>
      <c r="E173" s="893">
        <v>4312000000</v>
      </c>
      <c r="F173" s="4" t="s">
        <v>248</v>
      </c>
      <c r="M173" s="110"/>
    </row>
    <row r="174" spans="3:13" ht="12.5">
      <c r="C174" s="109"/>
      <c r="E174" s="4" t="s">
        <v>1092</v>
      </c>
      <c r="M174" s="110"/>
    </row>
    <row r="175" spans="3:13" ht="12.5">
      <c r="C175" s="109"/>
      <c r="M175" s="110"/>
    </row>
    <row r="176" spans="3:13" ht="13">
      <c r="C176" s="109"/>
      <c r="E176" s="533"/>
      <c r="F176" s="533"/>
      <c r="G176" s="533"/>
      <c r="H176" s="533"/>
      <c r="I176" s="533"/>
      <c r="J176" s="533"/>
      <c r="K176" s="533"/>
      <c r="L176" s="533"/>
      <c r="M176" s="110"/>
    </row>
    <row r="177" spans="3:13" ht="13">
      <c r="C177" s="109"/>
      <c r="E177" s="533"/>
      <c r="F177" s="533"/>
      <c r="G177" s="533"/>
      <c r="H177" s="533"/>
      <c r="I177" s="533"/>
      <c r="J177" s="533"/>
      <c r="K177" s="533"/>
      <c r="L177" s="533"/>
      <c r="M177" s="110"/>
    </row>
    <row r="178" spans="3:13" ht="13">
      <c r="C178" s="109"/>
      <c r="E178" s="533"/>
      <c r="F178" s="533"/>
      <c r="G178" s="1061" t="s">
        <v>973</v>
      </c>
      <c r="H178" s="1062"/>
      <c r="I178" s="1062"/>
      <c r="J178" s="1062"/>
      <c r="K178" s="1063"/>
      <c r="L178" s="533"/>
      <c r="M178" s="110"/>
    </row>
    <row r="179" spans="3:13" ht="13">
      <c r="C179" s="109"/>
      <c r="E179" s="533"/>
      <c r="F179" s="533"/>
      <c r="G179" s="895">
        <v>2016</v>
      </c>
      <c r="H179" s="533"/>
      <c r="I179" s="895">
        <v>2017</v>
      </c>
      <c r="J179" s="533"/>
      <c r="K179" s="895" t="s">
        <v>1099</v>
      </c>
      <c r="L179" s="533"/>
      <c r="M179" s="110"/>
    </row>
    <row r="180" spans="3:13" ht="13">
      <c r="C180" s="109"/>
      <c r="E180" s="896" t="s">
        <v>1028</v>
      </c>
      <c r="F180" s="361"/>
      <c r="G180" s="361"/>
      <c r="H180" s="361"/>
      <c r="I180" s="361"/>
      <c r="J180" s="361"/>
      <c r="K180" s="361"/>
      <c r="L180" s="361"/>
      <c r="M180" s="110"/>
    </row>
    <row r="181" spans="3:13" ht="13">
      <c r="C181" s="109"/>
      <c r="E181" s="777" t="s">
        <v>985</v>
      </c>
      <c r="F181" s="533"/>
      <c r="G181" s="780">
        <v>20</v>
      </c>
      <c r="H181" s="533"/>
      <c r="I181" s="780">
        <v>7</v>
      </c>
      <c r="J181" s="533"/>
      <c r="K181" s="780">
        <v>27</v>
      </c>
      <c r="L181" s="533"/>
      <c r="M181" s="110"/>
    </row>
    <row r="182" spans="3:13" ht="13">
      <c r="C182" s="109"/>
      <c r="E182" s="896" t="s">
        <v>983</v>
      </c>
      <c r="F182" s="361"/>
      <c r="G182" s="897">
        <v>2.39</v>
      </c>
      <c r="H182" s="361"/>
      <c r="I182" s="897">
        <v>2.16</v>
      </c>
      <c r="J182" s="361"/>
      <c r="K182" s="897">
        <v>2.33</v>
      </c>
      <c r="L182" s="361"/>
      <c r="M182" s="110"/>
    </row>
    <row r="183" spans="3:13" ht="12.5">
      <c r="C183" s="109"/>
      <c r="E183" s="777" t="s">
        <v>1101</v>
      </c>
      <c r="M183" s="110"/>
    </row>
    <row r="184" spans="3:13" ht="12.5">
      <c r="C184" s="109"/>
      <c r="M184" s="110"/>
    </row>
    <row r="185" spans="3:13" ht="12.5">
      <c r="C185" s="109"/>
      <c r="E185" s="4" t="s">
        <v>258</v>
      </c>
      <c r="F185" s="4">
        <v>27000000</v>
      </c>
      <c r="I185" s="34">
        <v>168654122</v>
      </c>
      <c r="J185" s="4" t="s">
        <v>171</v>
      </c>
      <c r="M185" s="110"/>
    </row>
    <row r="186" spans="3:13" ht="12.5">
      <c r="C186" s="109"/>
      <c r="E186" s="4" t="s">
        <v>523</v>
      </c>
      <c r="F186" s="34">
        <f>F185/I185</f>
        <v>0.16009095822751371</v>
      </c>
      <c r="I186" s="34">
        <v>454758700.65200001</v>
      </c>
      <c r="J186" s="4" t="s">
        <v>164</v>
      </c>
      <c r="M186" s="110"/>
    </row>
    <row r="187" spans="3:13" ht="12.5">
      <c r="C187" s="113"/>
      <c r="D187" s="114"/>
      <c r="E187" s="114"/>
      <c r="F187" s="114"/>
      <c r="G187" s="114"/>
      <c r="H187" s="114"/>
      <c r="I187" s="114"/>
      <c r="J187" s="114"/>
      <c r="K187" s="114"/>
      <c r="L187" s="114"/>
      <c r="M187" s="115"/>
    </row>
    <row r="190" spans="3:13" ht="12.5">
      <c r="C190" s="4">
        <v>2016</v>
      </c>
      <c r="E190" s="892" t="s">
        <v>1106</v>
      </c>
    </row>
    <row r="191" spans="3:13" ht="12.5">
      <c r="E191" s="892" t="s">
        <v>1107</v>
      </c>
    </row>
    <row r="192" spans="3:13" ht="12.5">
      <c r="E192" s="901">
        <v>3772</v>
      </c>
      <c r="F192" s="4" t="s">
        <v>248</v>
      </c>
    </row>
    <row r="193" spans="5:12" ht="12.5">
      <c r="E193" s="4" t="s">
        <v>1092</v>
      </c>
    </row>
    <row r="195" spans="5:12" ht="12.5">
      <c r="E195" s="34">
        <v>141354095</v>
      </c>
      <c r="F195" s="4" t="s">
        <v>154</v>
      </c>
      <c r="I195" s="4" t="s">
        <v>258</v>
      </c>
      <c r="J195" s="4">
        <v>21000000</v>
      </c>
    </row>
    <row r="196" spans="5:12" ht="12.5">
      <c r="E196" s="34">
        <v>325638851.31</v>
      </c>
      <c r="F196" s="4" t="s">
        <v>164</v>
      </c>
      <c r="I196" s="4" t="s">
        <v>125</v>
      </c>
      <c r="J196">
        <f>J195/E195</f>
        <v>0.14856308195386911</v>
      </c>
    </row>
    <row r="199" spans="5:12" ht="15.5">
      <c r="E199" s="1061" t="s">
        <v>973</v>
      </c>
      <c r="F199" s="1062"/>
      <c r="G199" s="1062"/>
      <c r="H199" s="1062"/>
      <c r="I199" s="1063"/>
      <c r="J199" s="903"/>
    </row>
    <row r="200" spans="5:12" ht="15.5">
      <c r="E200" s="903"/>
      <c r="F200" s="903"/>
      <c r="G200" s="895">
        <v>2017</v>
      </c>
      <c r="H200" s="903"/>
      <c r="I200" s="895">
        <v>2018</v>
      </c>
      <c r="J200" s="903"/>
      <c r="K200" s="895" t="s">
        <v>1099</v>
      </c>
      <c r="L200" s="903"/>
    </row>
    <row r="201" spans="5:12" ht="15.5">
      <c r="E201" s="896" t="s">
        <v>1028</v>
      </c>
      <c r="F201" s="904"/>
      <c r="G201" s="904"/>
      <c r="H201" s="904"/>
      <c r="I201" s="904"/>
      <c r="J201" s="904"/>
      <c r="K201" s="904"/>
      <c r="L201" s="904"/>
    </row>
    <row r="202" spans="5:12" ht="15.5">
      <c r="E202" s="777" t="s">
        <v>985</v>
      </c>
      <c r="F202" s="903"/>
      <c r="G202" s="780">
        <v>19</v>
      </c>
      <c r="H202" s="903"/>
      <c r="I202" s="780">
        <v>2</v>
      </c>
      <c r="J202" s="903"/>
      <c r="K202" s="780">
        <v>21</v>
      </c>
      <c r="L202" s="903"/>
    </row>
    <row r="203" spans="5:12" ht="15.5">
      <c r="E203" s="896" t="s">
        <v>983</v>
      </c>
      <c r="F203" s="904"/>
      <c r="G203" s="897">
        <v>1.71</v>
      </c>
      <c r="H203" s="904"/>
      <c r="I203" s="897">
        <v>1.6</v>
      </c>
      <c r="J203" s="904"/>
      <c r="K203" s="897">
        <v>1.7</v>
      </c>
      <c r="L203" s="904"/>
    </row>
    <row r="204" spans="5:12" ht="15.5">
      <c r="E204" s="777" t="s">
        <v>1101</v>
      </c>
      <c r="F204" s="903"/>
      <c r="G204" s="780">
        <v>43</v>
      </c>
      <c r="H204" s="905" t="s">
        <v>523</v>
      </c>
      <c r="I204" s="780">
        <v>11</v>
      </c>
      <c r="J204" s="905" t="s">
        <v>523</v>
      </c>
      <c r="K204" s="903"/>
      <c r="L204" s="903"/>
    </row>
    <row r="209" spans="3:11" ht="12.5">
      <c r="C209" s="4">
        <v>2017</v>
      </c>
      <c r="E209" s="892" t="s">
        <v>1112</v>
      </c>
    </row>
    <row r="210" spans="3:11" ht="12.5">
      <c r="E210" s="892" t="s">
        <v>1113</v>
      </c>
    </row>
    <row r="211" spans="3:11" ht="12.5">
      <c r="E211" s="4">
        <v>4038000000</v>
      </c>
      <c r="F211" s="4" t="s">
        <v>248</v>
      </c>
    </row>
    <row r="213" spans="3:11" ht="12.5">
      <c r="E213" s="358">
        <v>165318074</v>
      </c>
      <c r="F213" s="4" t="s">
        <v>171</v>
      </c>
    </row>
    <row r="214" spans="3:11" ht="12.5">
      <c r="E214" s="34">
        <v>427683851.32800001</v>
      </c>
      <c r="F214" s="4" t="s">
        <v>164</v>
      </c>
      <c r="H214" s="4" t="s">
        <v>258</v>
      </c>
      <c r="I214" s="4">
        <v>18000000</v>
      </c>
    </row>
    <row r="215" spans="3:11" ht="12.5">
      <c r="H215" s="4" t="s">
        <v>255</v>
      </c>
      <c r="I215">
        <f>I214/E213</f>
        <v>0.10888101684513939</v>
      </c>
    </row>
    <row r="217" spans="3:11" ht="12.5">
      <c r="E217" s="1061" t="s">
        <v>973</v>
      </c>
      <c r="F217" s="1062"/>
      <c r="G217" s="1062"/>
      <c r="H217" s="1062"/>
      <c r="I217" s="1063"/>
    </row>
    <row r="218" spans="3:11" ht="13">
      <c r="E218" s="533"/>
      <c r="F218" s="533"/>
      <c r="G218" s="895">
        <v>2018</v>
      </c>
      <c r="H218" s="533"/>
      <c r="I218" s="895">
        <v>2019</v>
      </c>
      <c r="J218" s="533"/>
      <c r="K218" s="895" t="s">
        <v>1099</v>
      </c>
    </row>
    <row r="219" spans="3:11" ht="13">
      <c r="E219" s="896" t="s">
        <v>1028</v>
      </c>
      <c r="F219" s="361"/>
      <c r="G219" s="361"/>
      <c r="H219" s="361"/>
      <c r="I219" s="361"/>
      <c r="J219" s="361"/>
      <c r="K219" s="361"/>
    </row>
    <row r="220" spans="3:11" ht="13">
      <c r="E220" s="777" t="s">
        <v>985</v>
      </c>
      <c r="F220" s="533"/>
      <c r="G220" s="780">
        <v>16</v>
      </c>
      <c r="H220" s="533"/>
      <c r="I220" s="780">
        <v>2</v>
      </c>
      <c r="J220" s="533"/>
      <c r="K220" s="780">
        <v>18</v>
      </c>
    </row>
    <row r="221" spans="3:11" ht="13">
      <c r="E221" s="896" t="s">
        <v>983</v>
      </c>
      <c r="F221" s="361"/>
      <c r="G221" s="897">
        <v>1.63</v>
      </c>
      <c r="H221" s="361"/>
      <c r="I221" s="897">
        <v>1.72</v>
      </c>
      <c r="J221" s="361"/>
      <c r="K221" s="897">
        <v>1.64</v>
      </c>
    </row>
  </sheetData>
  <mergeCells count="49">
    <mergeCell ref="G82:P82"/>
    <mergeCell ref="O83:P83"/>
    <mergeCell ref="O84:P84"/>
    <mergeCell ref="I13:J13"/>
    <mergeCell ref="M13:N13"/>
    <mergeCell ref="G83:H83"/>
    <mergeCell ref="G84:H84"/>
    <mergeCell ref="K84:L84"/>
    <mergeCell ref="O149:P149"/>
    <mergeCell ref="K149:L149"/>
    <mergeCell ref="E199:I199"/>
    <mergeCell ref="F126:G126"/>
    <mergeCell ref="K83:L83"/>
    <mergeCell ref="E217:I217"/>
    <mergeCell ref="G178:K178"/>
    <mergeCell ref="V124:AA124"/>
    <mergeCell ref="V125:AA125"/>
    <mergeCell ref="W105:AB105"/>
    <mergeCell ref="W148:AB148"/>
    <mergeCell ref="W147:AB147"/>
    <mergeCell ref="S148:T148"/>
    <mergeCell ref="S149:T149"/>
    <mergeCell ref="G149:H149"/>
    <mergeCell ref="G148:H148"/>
    <mergeCell ref="G147:T147"/>
    <mergeCell ref="K148:L148"/>
    <mergeCell ref="O148:P148"/>
    <mergeCell ref="W149:X149"/>
    <mergeCell ref="AA149:AB149"/>
    <mergeCell ref="W104:AB104"/>
    <mergeCell ref="W84:X84"/>
    <mergeCell ref="S82:X82"/>
    <mergeCell ref="S83:X83"/>
    <mergeCell ref="S84:T84"/>
    <mergeCell ref="F125:G125"/>
    <mergeCell ref="Z126:AA126"/>
    <mergeCell ref="F124:S124"/>
    <mergeCell ref="J125:K125"/>
    <mergeCell ref="V126:W126"/>
    <mergeCell ref="N125:O125"/>
    <mergeCell ref="R126:S126"/>
    <mergeCell ref="R125:S125"/>
    <mergeCell ref="N126:O126"/>
    <mergeCell ref="J126:K126"/>
    <mergeCell ref="K105:L105"/>
    <mergeCell ref="G105:H105"/>
    <mergeCell ref="S105:T105"/>
    <mergeCell ref="O105:P105"/>
    <mergeCell ref="G104:T10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3:L124"/>
  <sheetViews>
    <sheetView workbookViewId="0"/>
  </sheetViews>
  <sheetFormatPr defaultColWidth="14.453125" defaultRowHeight="15.75" customHeight="1"/>
  <sheetData>
    <row r="3" spans="2:10" ht="15.75" customHeight="1">
      <c r="B3" s="380">
        <v>2009</v>
      </c>
      <c r="C3" s="107"/>
      <c r="D3" s="861">
        <v>363509</v>
      </c>
      <c r="E3" s="106" t="s">
        <v>413</v>
      </c>
      <c r="F3" s="107"/>
      <c r="G3" s="107"/>
      <c r="H3" s="107"/>
      <c r="I3" s="107"/>
      <c r="J3" s="108"/>
    </row>
    <row r="4" spans="2:10" ht="15.75" customHeight="1">
      <c r="B4" s="109"/>
      <c r="D4" s="862">
        <v>358467</v>
      </c>
      <c r="E4" s="4" t="s">
        <v>1035</v>
      </c>
      <c r="J4" s="110"/>
    </row>
    <row r="5" spans="2:10" ht="15.75" customHeight="1">
      <c r="B5" s="109"/>
      <c r="D5" s="4" t="s">
        <v>1036</v>
      </c>
      <c r="J5" s="110"/>
    </row>
    <row r="6" spans="2:10" ht="15.75" customHeight="1">
      <c r="B6" s="109"/>
      <c r="J6" s="110"/>
    </row>
    <row r="7" spans="2:10" ht="15.75" customHeight="1">
      <c r="B7" s="109"/>
      <c r="D7" s="4" t="s">
        <v>1037</v>
      </c>
      <c r="J7" s="110"/>
    </row>
    <row r="8" spans="2:10" ht="15.75" customHeight="1">
      <c r="B8" s="109"/>
      <c r="J8" s="110"/>
    </row>
    <row r="9" spans="2:10" ht="15.75" customHeight="1">
      <c r="B9" s="109"/>
      <c r="D9" s="4" t="s">
        <v>1038</v>
      </c>
      <c r="J9" s="110"/>
    </row>
    <row r="10" spans="2:10" ht="15.75" customHeight="1">
      <c r="B10" s="109"/>
      <c r="J10" s="110"/>
    </row>
    <row r="11" spans="2:10" ht="15.75" customHeight="1">
      <c r="B11" s="113"/>
      <c r="C11" s="114"/>
      <c r="D11" s="122" t="s">
        <v>1039</v>
      </c>
      <c r="E11" s="114"/>
      <c r="F11" s="114"/>
      <c r="G11" s="114"/>
      <c r="H11" s="114"/>
      <c r="I11" s="114"/>
      <c r="J11" s="115"/>
    </row>
    <row r="15" spans="2:10" ht="15.75" customHeight="1">
      <c r="B15" s="380">
        <v>2010</v>
      </c>
      <c r="C15" s="139"/>
      <c r="D15" s="106">
        <v>2011</v>
      </c>
      <c r="E15" s="232">
        <v>2010</v>
      </c>
      <c r="F15" s="107"/>
      <c r="G15" s="106" t="s">
        <v>1042</v>
      </c>
      <c r="H15" s="107"/>
      <c r="I15" s="107"/>
      <c r="J15" s="108"/>
    </row>
    <row r="16" spans="2:10" ht="15.75" customHeight="1">
      <c r="B16" s="109"/>
      <c r="C16" s="71" t="s">
        <v>1043</v>
      </c>
      <c r="D16" s="155">
        <v>30580000</v>
      </c>
      <c r="E16" s="865">
        <v>22143000</v>
      </c>
      <c r="G16" s="4" t="s">
        <v>1045</v>
      </c>
      <c r="J16" s="110"/>
    </row>
    <row r="17" spans="2:10" ht="15.75" customHeight="1">
      <c r="B17" s="109"/>
      <c r="C17" s="4" t="s">
        <v>163</v>
      </c>
      <c r="D17" s="14">
        <v>3.84</v>
      </c>
      <c r="E17" s="14">
        <v>2.992</v>
      </c>
      <c r="G17" s="155" t="s">
        <v>1047</v>
      </c>
      <c r="J17" s="110">
        <f>(715000+770000)/2</f>
        <v>742500</v>
      </c>
    </row>
    <row r="18" spans="2:10" ht="15.75" customHeight="1">
      <c r="B18" s="109"/>
      <c r="C18" s="4" t="s">
        <v>154</v>
      </c>
      <c r="D18">
        <f t="shared" ref="D18:E18" si="0">D16/D17</f>
        <v>7963541.666666667</v>
      </c>
      <c r="E18" s="34">
        <f t="shared" si="0"/>
        <v>7400735.2941176472</v>
      </c>
      <c r="G18" s="155">
        <v>89074</v>
      </c>
      <c r="H18" s="4" t="s">
        <v>1048</v>
      </c>
      <c r="J18" s="110"/>
    </row>
    <row r="19" spans="2:10" ht="15.75" customHeight="1">
      <c r="B19" s="109"/>
      <c r="C19" s="622" t="s">
        <v>1049</v>
      </c>
      <c r="D19" s="122">
        <v>346484000</v>
      </c>
      <c r="E19" s="248">
        <v>277974000</v>
      </c>
      <c r="G19">
        <f>93.5*89074</f>
        <v>8328419</v>
      </c>
      <c r="J19" s="110"/>
    </row>
    <row r="20" spans="2:10" ht="15.75" customHeight="1">
      <c r="B20" s="109"/>
      <c r="C20" s="4" t="s">
        <v>523</v>
      </c>
      <c r="D20">
        <f t="shared" ref="D20:E20" si="1">D16/D19</f>
        <v>8.8258043661467778E-2</v>
      </c>
      <c r="E20" s="34">
        <f t="shared" si="1"/>
        <v>7.9658529214962553E-2</v>
      </c>
      <c r="G20" s="4" t="s">
        <v>254</v>
      </c>
      <c r="H20" s="34">
        <f>G19/782900000</f>
        <v>1.0637909056073572E-2</v>
      </c>
      <c r="J20" s="110"/>
    </row>
    <row r="21" spans="2:10" ht="15.75" customHeight="1">
      <c r="B21" s="109"/>
      <c r="J21" s="110"/>
    </row>
    <row r="22" spans="2:10" ht="12.5">
      <c r="B22" s="109"/>
      <c r="G22" s="4" t="s">
        <v>235</v>
      </c>
      <c r="J22" s="110"/>
    </row>
    <row r="23" spans="2:10" ht="12.5">
      <c r="B23" s="109"/>
      <c r="J23" s="110"/>
    </row>
    <row r="24" spans="2:10" ht="12.5">
      <c r="B24" s="109"/>
      <c r="J24" s="110"/>
    </row>
    <row r="25" spans="2:10" ht="12.5">
      <c r="B25" s="113"/>
      <c r="C25" s="114"/>
      <c r="D25" s="114"/>
      <c r="E25" s="114"/>
      <c r="F25" s="114"/>
      <c r="G25" s="114"/>
      <c r="H25" s="114"/>
      <c r="I25" s="114"/>
      <c r="J25" s="115"/>
    </row>
    <row r="28" spans="2:10" ht="18">
      <c r="B28" s="489">
        <v>2011</v>
      </c>
      <c r="C28" s="139"/>
      <c r="D28" s="106">
        <v>2011</v>
      </c>
      <c r="F28" s="4" t="s">
        <v>1056</v>
      </c>
    </row>
    <row r="29" spans="2:10" ht="12.5">
      <c r="C29" s="71" t="s">
        <v>1043</v>
      </c>
      <c r="D29" s="155">
        <v>30580000</v>
      </c>
    </row>
    <row r="30" spans="2:10" ht="12.5">
      <c r="C30" s="4" t="s">
        <v>163</v>
      </c>
      <c r="D30" s="14">
        <v>3.84</v>
      </c>
      <c r="F30" s="4" t="s">
        <v>1057</v>
      </c>
    </row>
    <row r="31" spans="2:10" ht="12.5">
      <c r="C31" s="4" t="s">
        <v>154</v>
      </c>
      <c r="D31" s="34">
        <f>D29/D30</f>
        <v>7963541.666666667</v>
      </c>
      <c r="F31" s="306">
        <v>1098.9000000000001</v>
      </c>
    </row>
    <row r="32" spans="2:10" ht="12.5">
      <c r="C32" s="622" t="s">
        <v>1049</v>
      </c>
      <c r="D32" s="146">
        <v>346484000</v>
      </c>
      <c r="F32" s="34">
        <f>56800000/1098000000</f>
        <v>5.1730418943533696E-2</v>
      </c>
      <c r="G32" s="54" t="s">
        <v>254</v>
      </c>
    </row>
    <row r="33" spans="2:12" ht="12.5">
      <c r="C33" s="4" t="s">
        <v>523</v>
      </c>
      <c r="D33" s="34">
        <f>D29/D32</f>
        <v>8.8258043661467778E-2</v>
      </c>
    </row>
    <row r="34" spans="2:12" ht="12.5">
      <c r="F34" s="4" t="s">
        <v>1059</v>
      </c>
    </row>
    <row r="35" spans="2:12" ht="12.5">
      <c r="F35">
        <f>(730000+775000)/2</f>
        <v>752500</v>
      </c>
    </row>
    <row r="39" spans="2:12" ht="18">
      <c r="B39" s="380">
        <v>2012</v>
      </c>
      <c r="C39" s="106" t="s">
        <v>311</v>
      </c>
      <c r="D39" s="173">
        <v>656324</v>
      </c>
      <c r="E39" s="107"/>
      <c r="F39" s="1064" t="s">
        <v>1060</v>
      </c>
      <c r="G39" s="1000"/>
      <c r="H39" s="1000"/>
      <c r="I39" s="1000"/>
      <c r="J39" s="1000"/>
      <c r="K39" s="1000"/>
      <c r="L39" s="1001"/>
    </row>
    <row r="40" spans="2:12" ht="12.5">
      <c r="B40" s="109"/>
      <c r="C40" s="4" t="s">
        <v>262</v>
      </c>
      <c r="D40" s="4" t="s">
        <v>1061</v>
      </c>
      <c r="F40" s="996"/>
      <c r="G40" s="996"/>
      <c r="H40" s="996"/>
      <c r="I40" s="996"/>
      <c r="J40" s="996"/>
      <c r="K40" s="996"/>
      <c r="L40" s="998"/>
    </row>
    <row r="41" spans="2:12" ht="12.5">
      <c r="B41" s="109"/>
      <c r="D41" s="4" t="s">
        <v>572</v>
      </c>
      <c r="F41" s="996"/>
      <c r="G41" s="996"/>
      <c r="H41" s="996"/>
      <c r="I41" s="996"/>
      <c r="J41" s="996"/>
      <c r="K41" s="996"/>
      <c r="L41" s="998"/>
    </row>
    <row r="42" spans="2:12" ht="12.5">
      <c r="B42" s="109"/>
      <c r="D42" s="155">
        <v>427946</v>
      </c>
      <c r="E42" s="4" t="s">
        <v>248</v>
      </c>
      <c r="F42" s="996"/>
      <c r="G42" s="996"/>
      <c r="H42" s="996"/>
      <c r="I42" s="996"/>
      <c r="J42" s="996"/>
      <c r="K42" s="996"/>
      <c r="L42" s="998"/>
    </row>
    <row r="43" spans="2:12" ht="12.5">
      <c r="B43" s="109"/>
      <c r="D43" s="4" t="s">
        <v>1064</v>
      </c>
      <c r="F43" s="4" t="s">
        <v>1065</v>
      </c>
      <c r="L43" s="110"/>
    </row>
    <row r="44" spans="2:12" ht="12.5">
      <c r="B44" s="109"/>
      <c r="J44" s="181">
        <v>1147500000</v>
      </c>
      <c r="K44" s="4" t="s">
        <v>1066</v>
      </c>
      <c r="L44" s="110"/>
    </row>
    <row r="45" spans="2:12" ht="12.5">
      <c r="B45" s="109"/>
      <c r="F45" s="4" t="s">
        <v>235</v>
      </c>
      <c r="I45">
        <f>(47900000+4560000+800000+6100000)/J44</f>
        <v>5.172984749455338E-2</v>
      </c>
      <c r="J45" s="4" t="s">
        <v>254</v>
      </c>
      <c r="L45" s="110"/>
    </row>
    <row r="46" spans="2:12" ht="12.5">
      <c r="B46" s="109"/>
      <c r="L46" s="110"/>
    </row>
    <row r="47" spans="2:12" ht="12.5">
      <c r="B47" s="109"/>
      <c r="C47" s="139"/>
      <c r="D47" s="106">
        <v>2011</v>
      </c>
      <c r="L47" s="110"/>
    </row>
    <row r="48" spans="2:12" ht="12.5">
      <c r="B48" s="109"/>
      <c r="C48" s="71" t="s">
        <v>1043</v>
      </c>
      <c r="D48" s="155">
        <v>36641000</v>
      </c>
      <c r="F48">
        <f>(705000+760000)/2</f>
        <v>732500</v>
      </c>
      <c r="G48" s="4" t="s">
        <v>262</v>
      </c>
      <c r="L48" s="110"/>
    </row>
    <row r="49" spans="2:12" ht="12.5">
      <c r="B49" s="109"/>
      <c r="C49" s="4" t="s">
        <v>163</v>
      </c>
      <c r="D49" s="14">
        <v>3.968</v>
      </c>
      <c r="L49" s="110"/>
    </row>
    <row r="50" spans="2:12" ht="12.5">
      <c r="B50" s="109"/>
      <c r="C50" s="4" t="s">
        <v>154</v>
      </c>
      <c r="D50" s="34">
        <f>D48/D49</f>
        <v>9234122.9838709682</v>
      </c>
      <c r="L50" s="110"/>
    </row>
    <row r="51" spans="2:12" ht="12.5">
      <c r="B51" s="109"/>
      <c r="C51" s="622" t="s">
        <v>1049</v>
      </c>
      <c r="D51" s="155">
        <v>427946000</v>
      </c>
      <c r="L51" s="110"/>
    </row>
    <row r="52" spans="2:12" ht="12.5">
      <c r="B52" s="109"/>
      <c r="C52" s="4" t="s">
        <v>523</v>
      </c>
      <c r="D52" s="34">
        <f>D48/D51</f>
        <v>8.562061568515654E-2</v>
      </c>
      <c r="L52" s="110"/>
    </row>
    <row r="53" spans="2:12" ht="12.5">
      <c r="B53" s="113"/>
      <c r="C53" s="114"/>
      <c r="D53" s="114"/>
      <c r="E53" s="114"/>
      <c r="F53" s="114"/>
      <c r="G53" s="114"/>
      <c r="H53" s="114"/>
      <c r="I53" s="114"/>
      <c r="J53" s="114"/>
      <c r="K53" s="114"/>
      <c r="L53" s="115"/>
    </row>
    <row r="56" spans="2:12" ht="18">
      <c r="B56" s="380">
        <v>2013</v>
      </c>
      <c r="C56" s="107"/>
      <c r="D56" s="107"/>
      <c r="E56" s="107"/>
      <c r="F56" s="107"/>
      <c r="G56" s="879">
        <v>1123992</v>
      </c>
      <c r="H56" s="106" t="s">
        <v>1069</v>
      </c>
      <c r="I56" s="107"/>
      <c r="J56" s="107"/>
      <c r="K56" s="107"/>
      <c r="L56" s="108"/>
    </row>
    <row r="57" spans="2:12" ht="12.5">
      <c r="B57" s="109"/>
      <c r="G57" s="880">
        <v>481892</v>
      </c>
      <c r="H57" s="4" t="s">
        <v>79</v>
      </c>
      <c r="L57" s="110"/>
    </row>
    <row r="58" spans="2:12" ht="12.5">
      <c r="B58" s="109"/>
      <c r="C58" s="71" t="s">
        <v>1043</v>
      </c>
      <c r="D58" s="155">
        <v>42038000</v>
      </c>
      <c r="G58" s="882" t="s">
        <v>1072</v>
      </c>
      <c r="H58" s="54">
        <v>765000</v>
      </c>
      <c r="L58" s="110"/>
    </row>
    <row r="59" spans="2:12" ht="12.5">
      <c r="B59" s="109"/>
      <c r="C59" s="4" t="s">
        <v>163</v>
      </c>
      <c r="D59" s="14">
        <v>3.9220000000000002</v>
      </c>
      <c r="G59" s="884">
        <v>1020000</v>
      </c>
      <c r="H59" s="4" t="s">
        <v>797</v>
      </c>
      <c r="L59" s="110"/>
    </row>
    <row r="60" spans="2:12" ht="12.5">
      <c r="B60" s="109"/>
      <c r="C60" s="4" t="s">
        <v>154</v>
      </c>
      <c r="D60" s="34">
        <f>D58/D59</f>
        <v>10718510.963793982</v>
      </c>
      <c r="G60" s="4" t="s">
        <v>254</v>
      </c>
      <c r="H60" s="34">
        <f>1-(G59/G56)</f>
        <v>9.2520231460722191E-2</v>
      </c>
      <c r="L60" s="110"/>
    </row>
    <row r="61" spans="2:12" ht="12.5">
      <c r="B61" s="109"/>
      <c r="C61" s="622" t="s">
        <v>1049</v>
      </c>
      <c r="D61" s="880">
        <v>481892000</v>
      </c>
      <c r="L61" s="110"/>
    </row>
    <row r="62" spans="2:12" ht="12.5">
      <c r="B62" s="109"/>
      <c r="C62" s="4" t="s">
        <v>523</v>
      </c>
      <c r="D62" s="34">
        <f>D58/D61</f>
        <v>8.7235314136777542E-2</v>
      </c>
      <c r="L62" s="110"/>
    </row>
    <row r="63" spans="2:12" ht="12.5">
      <c r="B63" s="109"/>
      <c r="F63" s="4" t="s">
        <v>235</v>
      </c>
      <c r="L63" s="110"/>
    </row>
    <row r="64" spans="2:12" ht="12.5">
      <c r="B64" s="109"/>
      <c r="L64" s="110"/>
    </row>
    <row r="65" spans="2:12" ht="12.5">
      <c r="B65" s="109"/>
      <c r="C65" s="155">
        <v>721201</v>
      </c>
      <c r="D65" s="4" t="s">
        <v>233</v>
      </c>
      <c r="L65" s="110"/>
    </row>
    <row r="66" spans="2:12" ht="12.5">
      <c r="B66" s="109"/>
      <c r="L66" s="110"/>
    </row>
    <row r="67" spans="2:12" ht="12.5">
      <c r="B67" s="113"/>
      <c r="C67" s="114"/>
      <c r="D67" s="114"/>
      <c r="E67" s="114"/>
      <c r="F67" s="114"/>
      <c r="G67" s="114"/>
      <c r="H67" s="114"/>
      <c r="I67" s="114"/>
      <c r="J67" s="114"/>
      <c r="K67" s="114"/>
      <c r="L67" s="115"/>
    </row>
    <row r="70" spans="2:12" ht="18">
      <c r="B70" s="380">
        <v>2014</v>
      </c>
      <c r="C70" s="107"/>
      <c r="D70" s="107"/>
      <c r="E70" s="107"/>
      <c r="F70" s="107"/>
      <c r="G70" s="107"/>
      <c r="H70" s="107"/>
      <c r="I70" s="173">
        <v>51152000</v>
      </c>
      <c r="J70" s="106" t="s">
        <v>1043</v>
      </c>
      <c r="K70" s="107"/>
      <c r="L70" s="108"/>
    </row>
    <row r="71" spans="2:12" ht="12.5">
      <c r="B71" s="109"/>
      <c r="D71" s="67">
        <v>508280000</v>
      </c>
      <c r="E71" s="4" t="s">
        <v>1075</v>
      </c>
      <c r="I71" s="14">
        <v>3.8250000000000002</v>
      </c>
      <c r="J71" s="4" t="s">
        <v>163</v>
      </c>
      <c r="L71" s="110"/>
    </row>
    <row r="72" spans="2:12" ht="12.5">
      <c r="B72" s="109"/>
      <c r="D72" s="155">
        <v>789224</v>
      </c>
      <c r="E72" s="4" t="s">
        <v>1078</v>
      </c>
      <c r="I72" s="34">
        <f>I70/I71</f>
        <v>13373071.895424835</v>
      </c>
      <c r="J72" s="4" t="s">
        <v>154</v>
      </c>
      <c r="L72" s="110"/>
    </row>
    <row r="73" spans="2:12" ht="12.5">
      <c r="B73" s="109"/>
      <c r="D73" s="4" t="s">
        <v>1079</v>
      </c>
      <c r="L73" s="110"/>
    </row>
    <row r="74" spans="2:12" ht="12.5">
      <c r="B74" s="109"/>
      <c r="D74" s="181">
        <v>980900000</v>
      </c>
      <c r="E74" s="4" t="s">
        <v>1035</v>
      </c>
      <c r="I74" s="34">
        <f>I70/D71</f>
        <v>0.10063744392854332</v>
      </c>
      <c r="J74" s="4" t="s">
        <v>1080</v>
      </c>
      <c r="L74" s="110"/>
    </row>
    <row r="75" spans="2:12" ht="12.5">
      <c r="B75" s="109"/>
      <c r="D75" s="181">
        <v>1067900000</v>
      </c>
      <c r="F75" s="4" t="s">
        <v>254</v>
      </c>
      <c r="G75" s="34">
        <f>1-D74/D75</f>
        <v>8.1468302275493953E-2</v>
      </c>
      <c r="L75" s="110"/>
    </row>
    <row r="76" spans="2:12" ht="12.5">
      <c r="B76" s="109"/>
      <c r="D76" s="4" t="s">
        <v>235</v>
      </c>
      <c r="L76" s="110"/>
    </row>
    <row r="77" spans="2:12" ht="12.5">
      <c r="B77" s="113"/>
      <c r="C77" s="114"/>
      <c r="D77" s="114"/>
      <c r="E77" s="114"/>
      <c r="F77" s="114"/>
      <c r="G77" s="114"/>
      <c r="H77" s="114"/>
      <c r="I77" s="114"/>
      <c r="J77" s="114"/>
      <c r="K77" s="114"/>
      <c r="L77" s="115"/>
    </row>
    <row r="79" spans="2:12" ht="12.5">
      <c r="D79" s="155"/>
      <c r="H79" s="155"/>
    </row>
    <row r="80" spans="2:12" ht="12.5">
      <c r="D80" s="184"/>
      <c r="H80" s="155"/>
    </row>
    <row r="86" spans="2:11" ht="18">
      <c r="B86" s="380">
        <v>2015</v>
      </c>
      <c r="C86" s="107"/>
      <c r="D86" s="106" t="s">
        <v>1082</v>
      </c>
      <c r="E86" s="107"/>
      <c r="F86" s="107"/>
      <c r="G86" s="107"/>
      <c r="H86" s="107"/>
      <c r="I86" s="173"/>
      <c r="J86" s="106"/>
      <c r="K86" s="108"/>
    </row>
    <row r="87" spans="2:11" ht="12.5">
      <c r="B87" s="109"/>
      <c r="D87" s="4" t="s">
        <v>1083</v>
      </c>
      <c r="H87" s="4" t="s">
        <v>243</v>
      </c>
      <c r="J87" s="4" t="s">
        <v>171</v>
      </c>
      <c r="K87" s="110"/>
    </row>
    <row r="88" spans="2:11" ht="12.5">
      <c r="B88" s="109"/>
      <c r="D88">
        <f>(565000+630000)/2</f>
        <v>597500</v>
      </c>
      <c r="H88" s="155">
        <v>1367730</v>
      </c>
      <c r="I88" s="4" t="s">
        <v>274</v>
      </c>
      <c r="K88" s="110"/>
    </row>
    <row r="89" spans="2:11" ht="12.5">
      <c r="B89" s="109"/>
      <c r="D89" s="155">
        <v>469818000</v>
      </c>
      <c r="E89" s="4" t="s">
        <v>79</v>
      </c>
      <c r="H89" s="155">
        <f>56780+H88</f>
        <v>1424510</v>
      </c>
      <c r="I89" s="4" t="s">
        <v>1089</v>
      </c>
      <c r="J89" s="4">
        <v>9722290</v>
      </c>
      <c r="K89" s="110"/>
    </row>
    <row r="90" spans="2:11" ht="12.5">
      <c r="B90" s="109"/>
      <c r="D90" s="4">
        <v>823.8</v>
      </c>
      <c r="E90" s="4" t="s">
        <v>797</v>
      </c>
      <c r="H90" s="155">
        <v>26247</v>
      </c>
      <c r="I90" s="4" t="s">
        <v>280</v>
      </c>
      <c r="J90" s="4">
        <v>199203</v>
      </c>
      <c r="K90" s="110"/>
    </row>
    <row r="91" spans="2:11" ht="12.5">
      <c r="B91" s="109"/>
      <c r="D91" s="4">
        <v>863.3</v>
      </c>
      <c r="E91" s="4" t="s">
        <v>267</v>
      </c>
      <c r="J91" s="34">
        <f>J90+J89</f>
        <v>9921493</v>
      </c>
      <c r="K91" s="110"/>
    </row>
    <row r="92" spans="2:11" ht="12.5">
      <c r="B92" s="109"/>
      <c r="D92" s="34">
        <f>1-(D90/D91)</f>
        <v>4.5754662342175401E-2</v>
      </c>
      <c r="E92" s="4" t="s">
        <v>254</v>
      </c>
      <c r="J92" s="14">
        <v>2.7069999999999999</v>
      </c>
      <c r="K92" s="110"/>
    </row>
    <row r="93" spans="2:11" ht="12.5">
      <c r="B93" s="109"/>
      <c r="J93" s="34">
        <f>J91*J92</f>
        <v>26857481.550999999</v>
      </c>
      <c r="K93" s="110"/>
    </row>
    <row r="94" spans="2:11" ht="12.5">
      <c r="B94" s="109"/>
      <c r="D94" s="4" t="s">
        <v>1093</v>
      </c>
      <c r="J94">
        <f>J93/D89</f>
        <v>5.7165714278720692E-2</v>
      </c>
      <c r="K94" s="110"/>
    </row>
    <row r="95" spans="2:11" ht="12.5">
      <c r="B95" s="109"/>
      <c r="K95" s="110"/>
    </row>
    <row r="96" spans="2:11" ht="12.5">
      <c r="B96" s="113"/>
      <c r="C96" s="114"/>
      <c r="D96" s="114"/>
      <c r="E96" s="114"/>
      <c r="F96" s="114"/>
      <c r="G96" s="114"/>
      <c r="H96" s="114"/>
      <c r="I96" s="114"/>
      <c r="J96" s="114"/>
      <c r="K96" s="115"/>
    </row>
    <row r="101" spans="2:10" ht="18">
      <c r="B101" s="380">
        <v>2016</v>
      </c>
      <c r="D101" s="4" t="s">
        <v>1094</v>
      </c>
    </row>
    <row r="102" spans="2:10" ht="12.5">
      <c r="D102" s="4" t="s">
        <v>1095</v>
      </c>
      <c r="I102" s="155">
        <v>39104</v>
      </c>
    </row>
    <row r="103" spans="2:10" ht="12.5">
      <c r="D103">
        <f>(365000+400000)/2</f>
        <v>382500</v>
      </c>
      <c r="I103" s="155">
        <f>899822+I102</f>
        <v>938926</v>
      </c>
      <c r="J103" s="4" t="s">
        <v>1098</v>
      </c>
    </row>
    <row r="104" spans="2:10" ht="12.5">
      <c r="D104" s="894">
        <v>194669</v>
      </c>
      <c r="E104" s="4" t="s">
        <v>248</v>
      </c>
      <c r="I104" s="54">
        <v>6408176</v>
      </c>
      <c r="J104" s="4" t="s">
        <v>171</v>
      </c>
    </row>
    <row r="105" spans="2:10" ht="12.5">
      <c r="I105" s="14">
        <v>2.3039999999999998</v>
      </c>
      <c r="J105" s="4" t="s">
        <v>163</v>
      </c>
    </row>
    <row r="106" spans="2:10" ht="12.5">
      <c r="I106" s="34">
        <f>I105*I104</f>
        <v>14764437.503999999</v>
      </c>
      <c r="J106" s="4" t="s">
        <v>164</v>
      </c>
    </row>
    <row r="107" spans="2:10" ht="12.5">
      <c r="D107" s="4">
        <v>650.20000000000005</v>
      </c>
      <c r="E107" s="4" t="s">
        <v>1100</v>
      </c>
    </row>
    <row r="108" spans="2:10" ht="12.5">
      <c r="D108" s="4">
        <v>605.9</v>
      </c>
      <c r="E108" s="4" t="s">
        <v>763</v>
      </c>
    </row>
    <row r="109" spans="2:10" ht="12.5">
      <c r="D109" s="34">
        <f>1-(D108/D107)</f>
        <v>6.8132882190095501E-2</v>
      </c>
      <c r="E109" s="4" t="s">
        <v>254</v>
      </c>
      <c r="G109" s="4" t="s">
        <v>235</v>
      </c>
    </row>
    <row r="110" spans="2:10" ht="12.5">
      <c r="I110" s="155"/>
    </row>
    <row r="111" spans="2:10" ht="12.5">
      <c r="I111" s="155"/>
    </row>
    <row r="114" spans="2:9" ht="12.5">
      <c r="B114" s="4">
        <v>2017</v>
      </c>
    </row>
    <row r="115" spans="2:9" ht="12.5">
      <c r="D115" s="349">
        <v>192740</v>
      </c>
      <c r="E115" s="898" t="s">
        <v>79</v>
      </c>
      <c r="H115" s="155">
        <v>910570</v>
      </c>
    </row>
    <row r="116" spans="2:9" ht="12.5">
      <c r="D116" s="899" t="s">
        <v>1104</v>
      </c>
      <c r="H116" s="155">
        <v>56350</v>
      </c>
    </row>
    <row r="117" spans="2:9" ht="12.5">
      <c r="D117" s="4" t="s">
        <v>1105</v>
      </c>
      <c r="H117" s="184">
        <f>H116+H115</f>
        <v>966920</v>
      </c>
      <c r="I117" s="4" t="s">
        <v>243</v>
      </c>
    </row>
    <row r="118" spans="2:9" ht="12.5">
      <c r="H118" s="4">
        <v>6599235</v>
      </c>
      <c r="I118" s="4" t="s">
        <v>171</v>
      </c>
    </row>
    <row r="119" spans="2:9" ht="12.5">
      <c r="H119" s="14">
        <v>2.65</v>
      </c>
      <c r="I119" s="4" t="s">
        <v>163</v>
      </c>
    </row>
    <row r="120" spans="2:9" ht="12.5">
      <c r="H120">
        <f>H119*H118</f>
        <v>17487972.75</v>
      </c>
      <c r="I120" s="4" t="s">
        <v>164</v>
      </c>
    </row>
    <row r="121" spans="2:9" ht="12.5">
      <c r="D121" s="900">
        <v>391.4</v>
      </c>
      <c r="E121" s="289" t="s">
        <v>517</v>
      </c>
    </row>
    <row r="122" spans="2:9" ht="12.5">
      <c r="D122" s="900">
        <v>333.3</v>
      </c>
      <c r="E122" s="289" t="s">
        <v>763</v>
      </c>
    </row>
    <row r="123" spans="2:9" ht="12.5">
      <c r="D123">
        <f>1-(D122/D121)</f>
        <v>0.1484414920797138</v>
      </c>
      <c r="E123" s="4" t="s">
        <v>254</v>
      </c>
      <c r="G123" s="902" t="s">
        <v>1109</v>
      </c>
    </row>
    <row r="124" spans="2:9" ht="12.5">
      <c r="G124" s="4" t="s">
        <v>262</v>
      </c>
    </row>
  </sheetData>
  <mergeCells count="1">
    <mergeCell ref="F39:L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R227"/>
  <sheetViews>
    <sheetView workbookViewId="0"/>
  </sheetViews>
  <sheetFormatPr defaultColWidth="14.453125" defaultRowHeight="15.75" customHeight="1"/>
  <cols>
    <col min="6" max="6" width="18.08984375" customWidth="1"/>
  </cols>
  <sheetData>
    <row r="2" spans="2:14" ht="15.75" customHeight="1">
      <c r="B2" s="105">
        <v>2009</v>
      </c>
      <c r="C2" s="107"/>
      <c r="D2" s="107"/>
      <c r="E2" s="107"/>
      <c r="F2" s="107"/>
      <c r="G2" s="107"/>
      <c r="H2" s="107"/>
      <c r="I2" s="107"/>
      <c r="J2" s="107"/>
      <c r="K2" s="107"/>
      <c r="L2" s="107"/>
      <c r="M2" s="107"/>
      <c r="N2" s="108"/>
    </row>
    <row r="3" spans="2:14" ht="15.75" customHeight="1">
      <c r="B3" s="225" t="s">
        <v>1116</v>
      </c>
      <c r="G3" s="4" t="s">
        <v>1117</v>
      </c>
      <c r="N3" s="110"/>
    </row>
    <row r="4" spans="2:14" ht="15.75" customHeight="1">
      <c r="B4" s="109"/>
      <c r="N4" s="110"/>
    </row>
    <row r="5" spans="2:14" ht="15.75" customHeight="1">
      <c r="B5" s="71" t="s">
        <v>1118</v>
      </c>
      <c r="I5" s="4" t="s">
        <v>1119</v>
      </c>
      <c r="N5" s="110"/>
    </row>
    <row r="6" spans="2:14" ht="15.75" customHeight="1">
      <c r="B6" s="109"/>
      <c r="D6" s="67">
        <v>14503132</v>
      </c>
      <c r="E6" s="4" t="s">
        <v>154</v>
      </c>
      <c r="N6" s="110"/>
    </row>
    <row r="7" spans="2:14" ht="15.75" customHeight="1">
      <c r="B7" s="109"/>
      <c r="D7" s="14">
        <v>2.4670000000000001</v>
      </c>
      <c r="E7" s="4" t="s">
        <v>163</v>
      </c>
      <c r="N7" s="110"/>
    </row>
    <row r="8" spans="2:14" ht="15.75" customHeight="1">
      <c r="B8" s="109"/>
      <c r="D8">
        <f>D7*D6</f>
        <v>35779226.644000001</v>
      </c>
      <c r="E8" s="4" t="s">
        <v>164</v>
      </c>
      <c r="N8" s="110"/>
    </row>
    <row r="9" spans="2:14" ht="15.75" customHeight="1">
      <c r="B9" s="109"/>
      <c r="N9" s="110"/>
    </row>
    <row r="10" spans="2:14" ht="15.75" customHeight="1">
      <c r="B10" s="1085" t="s">
        <v>1120</v>
      </c>
      <c r="C10" s="996"/>
      <c r="D10" s="996"/>
      <c r="E10" s="996"/>
      <c r="F10" s="996"/>
      <c r="G10" s="996"/>
      <c r="H10" s="996"/>
      <c r="I10" s="996"/>
      <c r="J10" s="996"/>
      <c r="N10" s="110"/>
    </row>
    <row r="11" spans="2:14" ht="15.75" customHeight="1">
      <c r="B11" s="1013"/>
      <c r="C11" s="996"/>
      <c r="D11" s="996"/>
      <c r="E11" s="996"/>
      <c r="F11" s="996"/>
      <c r="G11" s="996"/>
      <c r="H11" s="996"/>
      <c r="I11" s="996"/>
      <c r="J11" s="996"/>
      <c r="N11" s="110"/>
    </row>
    <row r="12" spans="2:14" ht="15.75" customHeight="1">
      <c r="B12" s="1084" t="s">
        <v>1121</v>
      </c>
      <c r="C12" s="996"/>
      <c r="D12" s="996"/>
      <c r="E12" s="996"/>
      <c r="F12" s="996"/>
      <c r="G12" s="996"/>
      <c r="H12" s="996"/>
      <c r="I12" s="996"/>
      <c r="J12" s="996"/>
      <c r="N12" s="110"/>
    </row>
    <row r="13" spans="2:14" ht="15.75" customHeight="1">
      <c r="B13" s="1013"/>
      <c r="C13" s="996"/>
      <c r="D13" s="996"/>
      <c r="E13" s="996"/>
      <c r="F13" s="996"/>
      <c r="G13" s="996"/>
      <c r="H13" s="996"/>
      <c r="I13" s="996"/>
      <c r="J13" s="996"/>
      <c r="N13" s="110"/>
    </row>
    <row r="14" spans="2:14" ht="15.75" customHeight="1">
      <c r="B14" s="109"/>
      <c r="N14" s="110"/>
    </row>
    <row r="15" spans="2:14" ht="15.75" customHeight="1">
      <c r="B15" s="906" t="s">
        <v>1122</v>
      </c>
      <c r="N15" s="110"/>
    </row>
    <row r="16" spans="2:14" ht="15.75" customHeight="1">
      <c r="B16" s="109"/>
      <c r="E16" s="34">
        <f>(1030000+1145000)/2</f>
        <v>1087500</v>
      </c>
      <c r="N16" s="110"/>
    </row>
    <row r="17" spans="2:15" ht="15.75" customHeight="1">
      <c r="B17" s="1084" t="s">
        <v>1123</v>
      </c>
      <c r="C17" s="996"/>
      <c r="D17" s="996"/>
      <c r="E17" s="996"/>
      <c r="F17" s="996"/>
      <c r="G17" s="996"/>
      <c r="H17" s="996"/>
      <c r="I17" s="996"/>
      <c r="J17" s="996"/>
      <c r="N17" s="110"/>
    </row>
    <row r="18" spans="2:15" ht="15.75" customHeight="1">
      <c r="B18" s="1013"/>
      <c r="C18" s="996"/>
      <c r="D18" s="996"/>
      <c r="E18" s="996"/>
      <c r="F18" s="996"/>
      <c r="G18" s="996"/>
      <c r="H18" s="996"/>
      <c r="I18" s="996"/>
      <c r="J18" s="996"/>
      <c r="N18" s="110"/>
    </row>
    <row r="19" spans="2:15" ht="15.75" customHeight="1">
      <c r="B19" s="1013"/>
      <c r="C19" s="996"/>
      <c r="D19" s="996"/>
      <c r="E19" s="996"/>
      <c r="F19" s="996"/>
      <c r="G19" s="996"/>
      <c r="H19" s="996"/>
      <c r="I19" s="996"/>
      <c r="J19" s="996"/>
      <c r="N19" s="110"/>
    </row>
    <row r="20" spans="2:15" ht="15.75" customHeight="1">
      <c r="B20" s="1013"/>
      <c r="C20" s="996"/>
      <c r="D20" s="996"/>
      <c r="E20" s="996"/>
      <c r="F20" s="996"/>
      <c r="G20" s="996"/>
      <c r="H20" s="996"/>
      <c r="I20" s="996"/>
      <c r="J20" s="996"/>
      <c r="N20" s="110"/>
    </row>
    <row r="21" spans="2:15" ht="15.75" customHeight="1">
      <c r="B21" s="907"/>
      <c r="C21" s="767"/>
      <c r="D21" s="1082" t="s">
        <v>1124</v>
      </c>
      <c r="E21" s="1008"/>
      <c r="F21" s="1008"/>
      <c r="G21" s="1008"/>
      <c r="H21" s="1008"/>
      <c r="I21" s="767"/>
      <c r="J21" s="1019" t="s">
        <v>1125</v>
      </c>
      <c r="K21" s="1008"/>
      <c r="L21" s="1008"/>
      <c r="M21" s="1008"/>
      <c r="N21" s="1025"/>
      <c r="O21" s="767"/>
    </row>
    <row r="22" spans="2:15" ht="12.5">
      <c r="B22" s="908" t="s">
        <v>1126</v>
      </c>
      <c r="C22" s="767"/>
      <c r="D22" s="1083">
        <v>2009</v>
      </c>
      <c r="E22" s="1008"/>
      <c r="F22" s="767"/>
      <c r="G22" s="1081">
        <v>2008</v>
      </c>
      <c r="H22" s="1062"/>
      <c r="I22" s="767"/>
      <c r="J22" s="1083">
        <v>2009</v>
      </c>
      <c r="K22" s="1008"/>
      <c r="L22" s="767"/>
      <c r="M22" s="1081">
        <v>2008</v>
      </c>
      <c r="N22" s="1063"/>
      <c r="O22" s="767"/>
    </row>
    <row r="23" spans="2:15" ht="13">
      <c r="B23" s="909" t="s">
        <v>1127</v>
      </c>
      <c r="C23" s="424"/>
      <c r="D23" s="910" t="s">
        <v>296</v>
      </c>
      <c r="E23" s="911">
        <v>980</v>
      </c>
      <c r="F23" s="424"/>
      <c r="G23" s="405" t="s">
        <v>296</v>
      </c>
      <c r="H23" s="408">
        <v>871</v>
      </c>
      <c r="I23" s="424"/>
      <c r="J23" s="910" t="s">
        <v>296</v>
      </c>
      <c r="K23" s="911">
        <v>974</v>
      </c>
      <c r="L23" s="424"/>
      <c r="M23" s="405" t="s">
        <v>296</v>
      </c>
      <c r="N23" s="912">
        <v>872</v>
      </c>
      <c r="O23" s="424"/>
    </row>
    <row r="24" spans="2:15" ht="13">
      <c r="B24" s="913" t="s">
        <v>1128</v>
      </c>
      <c r="C24" s="767"/>
      <c r="D24" s="914" t="s">
        <v>296</v>
      </c>
      <c r="E24" s="915">
        <v>2.44</v>
      </c>
      <c r="F24" s="767"/>
      <c r="G24" s="410" t="s">
        <v>296</v>
      </c>
      <c r="H24" s="412">
        <v>3.17</v>
      </c>
      <c r="I24" s="767"/>
      <c r="J24" s="914" t="s">
        <v>296</v>
      </c>
      <c r="K24" s="915">
        <v>2.34</v>
      </c>
      <c r="L24" s="767"/>
      <c r="M24" s="410" t="s">
        <v>296</v>
      </c>
      <c r="N24" s="916">
        <v>3.16</v>
      </c>
      <c r="O24" s="767"/>
    </row>
    <row r="25" spans="2:15" ht="13">
      <c r="B25" s="909" t="s">
        <v>1129</v>
      </c>
      <c r="C25" s="424"/>
      <c r="D25" s="910" t="s">
        <v>296</v>
      </c>
      <c r="E25" s="917">
        <v>14.89</v>
      </c>
      <c r="F25" s="424"/>
      <c r="G25" s="405" t="s">
        <v>296</v>
      </c>
      <c r="H25" s="409">
        <v>15.18</v>
      </c>
      <c r="I25" s="424"/>
      <c r="J25" s="910" t="s">
        <v>296</v>
      </c>
      <c r="K25" s="917">
        <v>14.7</v>
      </c>
      <c r="L25" s="424"/>
      <c r="M25" s="405" t="s">
        <v>296</v>
      </c>
      <c r="N25" s="918">
        <v>14.97</v>
      </c>
    </row>
    <row r="26" spans="2:15" ht="12.5">
      <c r="B26" s="109"/>
      <c r="N26" s="110"/>
    </row>
    <row r="27" spans="2:15" ht="12.5">
      <c r="B27" s="109"/>
      <c r="C27" s="4" t="s">
        <v>1130</v>
      </c>
      <c r="E27">
        <f>769636*E23</f>
        <v>754243280</v>
      </c>
      <c r="N27" s="110"/>
    </row>
    <row r="28" spans="2:15" ht="12.5">
      <c r="B28" s="109"/>
      <c r="C28" s="4" t="s">
        <v>514</v>
      </c>
      <c r="E28">
        <f>137400000*E24</f>
        <v>335256000</v>
      </c>
      <c r="N28" s="110"/>
    </row>
    <row r="29" spans="2:15" ht="12.5">
      <c r="B29" s="109"/>
      <c r="C29" s="4" t="s">
        <v>513</v>
      </c>
      <c r="E29">
        <f>10500000*E25</f>
        <v>156345000</v>
      </c>
      <c r="N29" s="110"/>
    </row>
    <row r="30" spans="2:15" ht="12.5">
      <c r="B30" s="109"/>
      <c r="C30" s="4" t="s">
        <v>285</v>
      </c>
      <c r="E30">
        <f>SUM(E27:E29)</f>
        <v>1245844280</v>
      </c>
      <c r="N30" s="110"/>
    </row>
    <row r="31" spans="2:15" ht="12.5">
      <c r="B31" s="113"/>
      <c r="C31" s="122" t="s">
        <v>254</v>
      </c>
      <c r="D31" s="114"/>
      <c r="E31" s="114">
        <f>(E29+E28)/E30</f>
        <v>0.39459265326482057</v>
      </c>
      <c r="F31" s="114"/>
      <c r="G31" s="114"/>
      <c r="H31" s="114"/>
      <c r="I31" s="114"/>
      <c r="J31" s="114"/>
      <c r="K31" s="114"/>
      <c r="L31" s="114"/>
      <c r="M31" s="114"/>
      <c r="N31" s="115"/>
    </row>
    <row r="34" spans="2:15" ht="12.5">
      <c r="B34" s="139"/>
      <c r="C34" s="107"/>
      <c r="D34" s="107"/>
      <c r="E34" s="107"/>
      <c r="F34" s="107"/>
      <c r="G34" s="107"/>
      <c r="H34" s="107"/>
      <c r="I34" s="107"/>
      <c r="J34" s="107"/>
      <c r="K34" s="107"/>
      <c r="L34" s="107"/>
      <c r="M34" s="107"/>
      <c r="N34" s="107"/>
      <c r="O34" s="108"/>
    </row>
    <row r="35" spans="2:15" ht="12.5">
      <c r="B35" s="71">
        <v>2010</v>
      </c>
      <c r="C35" s="225" t="s">
        <v>1131</v>
      </c>
      <c r="O35" s="110"/>
    </row>
    <row r="36" spans="2:15" ht="12.5">
      <c r="B36" s="109"/>
      <c r="O36" s="110"/>
    </row>
    <row r="37" spans="2:15" ht="12.5">
      <c r="B37" s="109"/>
      <c r="C37" s="4" t="s">
        <v>1132</v>
      </c>
      <c r="E37" s="4" t="s">
        <v>1133</v>
      </c>
      <c r="O37" s="110"/>
    </row>
    <row r="38" spans="2:15" ht="12.5">
      <c r="B38" s="71"/>
      <c r="C38" s="4">
        <v>1507923</v>
      </c>
      <c r="E38" s="4">
        <v>2209.41</v>
      </c>
      <c r="F38" s="4" t="s">
        <v>1134</v>
      </c>
      <c r="O38" s="110"/>
    </row>
    <row r="39" spans="2:15" ht="12.5">
      <c r="B39" s="71" t="s">
        <v>163</v>
      </c>
      <c r="C39" s="14">
        <v>2.992</v>
      </c>
      <c r="E39" s="4">
        <v>15079238</v>
      </c>
      <c r="F39" s="4" t="s">
        <v>154</v>
      </c>
      <c r="O39" s="110"/>
    </row>
    <row r="40" spans="2:15" ht="12.5">
      <c r="B40" s="71" t="s">
        <v>164</v>
      </c>
      <c r="C40">
        <f>C39*C38</f>
        <v>4511705.6160000004</v>
      </c>
      <c r="O40" s="110"/>
    </row>
    <row r="41" spans="2:15" ht="12.5">
      <c r="B41" s="109"/>
      <c r="O41" s="110"/>
    </row>
    <row r="42" spans="2:15" ht="12.5">
      <c r="B42" s="109"/>
      <c r="C42" s="225" t="s">
        <v>1135</v>
      </c>
      <c r="O42" s="110"/>
    </row>
    <row r="43" spans="2:15" ht="12.5">
      <c r="B43" s="109"/>
      <c r="C43" s="4">
        <v>1090000</v>
      </c>
      <c r="O43" s="110"/>
    </row>
    <row r="44" spans="2:15" ht="12.5">
      <c r="B44" s="109"/>
      <c r="O44" s="110"/>
    </row>
    <row r="45" spans="2:15" ht="12.5">
      <c r="B45" s="109"/>
      <c r="C45" s="1071" t="s">
        <v>1136</v>
      </c>
      <c r="D45" s="996"/>
      <c r="E45" s="996"/>
      <c r="F45" s="996"/>
      <c r="G45" s="996"/>
      <c r="H45" s="996"/>
      <c r="I45" s="996"/>
      <c r="O45" s="110"/>
    </row>
    <row r="46" spans="2:15" ht="12.5">
      <c r="B46" s="109"/>
      <c r="C46" s="996"/>
      <c r="D46" s="996"/>
      <c r="E46" s="996"/>
      <c r="F46" s="996"/>
      <c r="G46" s="996"/>
      <c r="H46" s="996"/>
      <c r="I46" s="996"/>
      <c r="O46" s="110"/>
    </row>
    <row r="47" spans="2:15" ht="12.5">
      <c r="B47" s="109"/>
      <c r="O47" s="110"/>
    </row>
    <row r="48" spans="2:15" ht="12.5">
      <c r="B48" s="109"/>
      <c r="C48" s="225"/>
      <c r="O48" s="110"/>
    </row>
    <row r="49" spans="2:16" ht="13">
      <c r="B49" s="109"/>
      <c r="C49" s="403"/>
      <c r="D49" s="919"/>
      <c r="E49" s="919"/>
      <c r="F49" s="919"/>
      <c r="G49" s="1089" t="s">
        <v>1137</v>
      </c>
      <c r="H49" s="996"/>
      <c r="I49" s="403"/>
      <c r="J49" s="1089" t="s">
        <v>667</v>
      </c>
      <c r="K49" s="996"/>
      <c r="L49" s="919"/>
      <c r="M49" s="404"/>
      <c r="N49" s="404"/>
      <c r="O49" s="920"/>
    </row>
    <row r="50" spans="2:16" ht="13">
      <c r="B50" s="109"/>
      <c r="C50" s="830" t="s">
        <v>1138</v>
      </c>
      <c r="D50" s="403"/>
      <c r="E50" s="404" t="s">
        <v>1139</v>
      </c>
      <c r="F50" s="919"/>
      <c r="G50" s="1019" t="s">
        <v>1140</v>
      </c>
      <c r="H50" s="1008"/>
      <c r="I50" s="919"/>
      <c r="J50" s="1019" t="s">
        <v>1141</v>
      </c>
      <c r="K50" s="1008"/>
      <c r="L50" s="919"/>
      <c r="M50" s="921"/>
      <c r="N50" s="1087">
        <v>2009</v>
      </c>
      <c r="O50" s="1063"/>
      <c r="P50" s="403"/>
    </row>
    <row r="51" spans="2:16" ht="13">
      <c r="B51" s="109"/>
      <c r="C51" s="802" t="s">
        <v>1142</v>
      </c>
      <c r="D51" s="406"/>
      <c r="E51" s="407">
        <v>813113</v>
      </c>
      <c r="F51" s="922" t="s">
        <v>1143</v>
      </c>
      <c r="G51" s="405" t="s">
        <v>296</v>
      </c>
      <c r="H51" s="923">
        <v>1237</v>
      </c>
      <c r="I51" s="924"/>
      <c r="J51" s="910" t="s">
        <v>296</v>
      </c>
      <c r="K51" s="925">
        <v>1005956</v>
      </c>
      <c r="L51" s="926"/>
      <c r="M51" s="406"/>
      <c r="N51" s="405" t="s">
        <v>296</v>
      </c>
      <c r="O51" s="912">
        <v>974</v>
      </c>
      <c r="P51" s="406"/>
    </row>
    <row r="52" spans="2:16" ht="13">
      <c r="B52" s="109"/>
      <c r="C52" s="800" t="s">
        <v>834</v>
      </c>
      <c r="D52" s="403"/>
      <c r="E52" s="927">
        <v>10135169</v>
      </c>
      <c r="F52" s="410" t="s">
        <v>1143</v>
      </c>
      <c r="G52" s="928" t="s">
        <v>296</v>
      </c>
      <c r="H52" s="929">
        <v>20.7</v>
      </c>
      <c r="I52" s="919"/>
      <c r="J52" s="1086">
        <v>209766</v>
      </c>
      <c r="K52" s="1008"/>
      <c r="L52" s="919"/>
      <c r="M52" s="403"/>
      <c r="N52" s="410" t="s">
        <v>296</v>
      </c>
      <c r="O52" s="916">
        <v>14.7</v>
      </c>
      <c r="P52" s="403"/>
    </row>
    <row r="53" spans="2:16" ht="13">
      <c r="B53" s="109"/>
      <c r="C53" s="802" t="s">
        <v>1144</v>
      </c>
      <c r="D53" s="406"/>
      <c r="E53" s="407">
        <v>997389</v>
      </c>
      <c r="F53" s="405" t="s">
        <v>1145</v>
      </c>
      <c r="G53" s="996"/>
      <c r="H53" s="996"/>
      <c r="I53" s="406"/>
      <c r="J53" s="1054">
        <v>1215722</v>
      </c>
      <c r="K53" s="996"/>
      <c r="L53" s="406"/>
      <c r="O53" s="110"/>
    </row>
    <row r="54" spans="2:16" ht="13">
      <c r="B54" s="109"/>
      <c r="C54" s="800" t="s">
        <v>1146</v>
      </c>
      <c r="D54" s="403"/>
      <c r="E54" s="927">
        <v>143761489</v>
      </c>
      <c r="F54" s="410" t="s">
        <v>1147</v>
      </c>
      <c r="G54" s="928" t="s">
        <v>296</v>
      </c>
      <c r="H54" s="929">
        <v>3.37</v>
      </c>
      <c r="I54" s="403"/>
      <c r="J54" s="1086">
        <v>482016</v>
      </c>
      <c r="K54" s="1008"/>
      <c r="L54" s="403"/>
      <c r="O54" s="110"/>
    </row>
    <row r="55" spans="2:16" ht="13">
      <c r="B55" s="109"/>
      <c r="C55" s="802" t="s">
        <v>1148</v>
      </c>
      <c r="D55" s="406"/>
      <c r="E55" s="406"/>
      <c r="F55" s="406"/>
      <c r="G55" s="996"/>
      <c r="H55" s="996"/>
      <c r="I55" s="406"/>
      <c r="J55" s="910" t="s">
        <v>296</v>
      </c>
      <c r="K55" s="925">
        <v>1697738</v>
      </c>
      <c r="O55" s="110"/>
    </row>
    <row r="56" spans="2:16" ht="12.5">
      <c r="B56" s="109"/>
      <c r="C56" s="4" t="s">
        <v>1149</v>
      </c>
      <c r="K56">
        <f>1-(K51/K55)</f>
        <v>0.40747276670487442</v>
      </c>
      <c r="O56" s="110"/>
    </row>
    <row r="57" spans="2:16" ht="12.5">
      <c r="B57" s="109"/>
      <c r="O57" s="110"/>
    </row>
    <row r="58" spans="2:16" ht="12.5">
      <c r="B58" s="109"/>
      <c r="O58" s="110"/>
    </row>
    <row r="59" spans="2:16" ht="12.5">
      <c r="B59" s="113"/>
      <c r="C59" s="122"/>
      <c r="D59" s="114"/>
      <c r="E59" s="114"/>
      <c r="F59" s="114"/>
      <c r="G59" s="114"/>
      <c r="H59" s="114"/>
      <c r="I59" s="114"/>
      <c r="J59" s="114"/>
      <c r="K59" s="114"/>
      <c r="L59" s="114"/>
      <c r="M59" s="114"/>
      <c r="N59" s="114"/>
      <c r="O59" s="115"/>
    </row>
    <row r="62" spans="2:16" ht="12.5">
      <c r="B62" s="105">
        <v>2011</v>
      </c>
      <c r="C62" s="107"/>
      <c r="D62" s="107"/>
      <c r="E62" s="107"/>
      <c r="F62" s="107"/>
      <c r="G62" s="107"/>
      <c r="H62" s="107"/>
      <c r="I62" s="107"/>
      <c r="J62" s="108"/>
    </row>
    <row r="63" spans="2:16" ht="12.5">
      <c r="B63" s="930" t="s">
        <v>1150</v>
      </c>
      <c r="J63" s="110"/>
    </row>
    <row r="64" spans="2:16" ht="12.5">
      <c r="B64" s="109"/>
      <c r="J64" s="110"/>
    </row>
    <row r="65" spans="2:16" ht="12.5">
      <c r="B65" s="109"/>
      <c r="C65" s="4" t="s">
        <v>1151</v>
      </c>
      <c r="D65" s="4">
        <v>2006.28</v>
      </c>
      <c r="E65" s="4" t="s">
        <v>243</v>
      </c>
      <c r="J65" s="110"/>
    </row>
    <row r="66" spans="2:16" ht="12.5">
      <c r="B66" s="109"/>
      <c r="D66" s="4">
        <v>13692874</v>
      </c>
      <c r="E66" s="4" t="s">
        <v>154</v>
      </c>
      <c r="J66" s="110"/>
    </row>
    <row r="67" spans="2:16" ht="12.5">
      <c r="B67" s="109"/>
      <c r="D67" s="14">
        <v>3.84</v>
      </c>
      <c r="E67" s="4" t="s">
        <v>163</v>
      </c>
      <c r="J67" s="110"/>
    </row>
    <row r="68" spans="2:16" ht="12.5">
      <c r="B68" s="109"/>
      <c r="D68" s="490">
        <f>D67*D66</f>
        <v>52580636.159999996</v>
      </c>
      <c r="E68" s="4" t="s">
        <v>164</v>
      </c>
      <c r="F68" s="43"/>
      <c r="J68" s="110"/>
    </row>
    <row r="69" spans="2:16" ht="12.5">
      <c r="B69" s="109"/>
      <c r="J69" s="110"/>
    </row>
    <row r="70" spans="2:16" ht="12.5">
      <c r="B70" s="109"/>
      <c r="C70" s="225" t="s">
        <v>1152</v>
      </c>
      <c r="J70" s="110"/>
    </row>
    <row r="71" spans="2:16" ht="12.5">
      <c r="B71" s="109"/>
      <c r="J71" s="110"/>
    </row>
    <row r="72" spans="2:16" ht="12.5">
      <c r="B72" s="109"/>
      <c r="J72" s="110"/>
    </row>
    <row r="73" spans="2:16" ht="13">
      <c r="B73" s="109"/>
      <c r="C73" s="931" t="s">
        <v>1153</v>
      </c>
      <c r="D73" s="424"/>
      <c r="E73" s="910" t="s">
        <v>296</v>
      </c>
      <c r="F73" s="832">
        <v>1670</v>
      </c>
      <c r="G73" s="424"/>
      <c r="H73" s="405" t="s">
        <v>296</v>
      </c>
      <c r="I73" s="407">
        <v>1374</v>
      </c>
      <c r="J73" s="766"/>
    </row>
    <row r="74" spans="2:16" ht="13">
      <c r="B74" s="109"/>
      <c r="C74" s="932" t="s">
        <v>1154</v>
      </c>
      <c r="D74" s="767"/>
      <c r="E74" s="914" t="s">
        <v>296</v>
      </c>
      <c r="F74" s="915">
        <v>3.36</v>
      </c>
      <c r="G74" s="767"/>
      <c r="H74" s="410" t="s">
        <v>296</v>
      </c>
      <c r="I74" s="412">
        <v>3.81</v>
      </c>
      <c r="J74" s="933"/>
    </row>
    <row r="75" spans="2:16" ht="13">
      <c r="B75" s="109"/>
      <c r="C75" s="931" t="s">
        <v>1155</v>
      </c>
      <c r="D75" s="424"/>
      <c r="E75" s="910" t="s">
        <v>296</v>
      </c>
      <c r="F75" s="917">
        <v>31.29</v>
      </c>
      <c r="J75" s="110"/>
    </row>
    <row r="76" spans="2:16" ht="12.5">
      <c r="B76" s="109"/>
      <c r="J76" s="110"/>
    </row>
    <row r="77" spans="2:16" ht="12.5">
      <c r="B77" s="109"/>
      <c r="J77" s="110"/>
    </row>
    <row r="78" spans="2:16" ht="12.5">
      <c r="B78" s="109"/>
      <c r="J78" s="110"/>
    </row>
    <row r="79" spans="2:16" ht="12.5">
      <c r="B79" s="109"/>
      <c r="J79" s="110"/>
    </row>
    <row r="80" spans="2:16" ht="12.5">
      <c r="B80" s="109"/>
      <c r="C80" s="767"/>
      <c r="D80" s="1019" t="s">
        <v>1156</v>
      </c>
      <c r="E80" s="1008"/>
      <c r="F80" s="1008"/>
      <c r="G80" s="767"/>
      <c r="H80" s="1019" t="s">
        <v>1140</v>
      </c>
      <c r="I80" s="1008"/>
      <c r="J80" s="767"/>
      <c r="K80" s="1019">
        <v>2011</v>
      </c>
      <c r="L80" s="1008"/>
      <c r="M80" s="934"/>
      <c r="N80" s="1087">
        <v>2010</v>
      </c>
      <c r="O80" s="1062"/>
      <c r="P80" s="767"/>
    </row>
    <row r="81" spans="2:17" ht="13">
      <c r="B81" s="109"/>
      <c r="C81" s="405" t="s">
        <v>1142</v>
      </c>
      <c r="D81" s="424"/>
      <c r="E81" s="407">
        <v>862321</v>
      </c>
      <c r="F81" s="935"/>
      <c r="G81" s="405" t="s">
        <v>1157</v>
      </c>
      <c r="H81" s="424"/>
      <c r="I81" s="405" t="s">
        <v>296</v>
      </c>
      <c r="J81" s="923">
        <v>1567</v>
      </c>
      <c r="K81" s="424"/>
      <c r="L81" s="910" t="s">
        <v>296</v>
      </c>
      <c r="M81" s="925">
        <v>1351428</v>
      </c>
      <c r="N81" s="424"/>
      <c r="O81" s="405" t="s">
        <v>296</v>
      </c>
      <c r="P81" s="923">
        <v>1005956</v>
      </c>
      <c r="Q81" s="424"/>
    </row>
    <row r="82" spans="2:17" ht="13">
      <c r="B82" s="109"/>
      <c r="C82" s="410" t="s">
        <v>834</v>
      </c>
      <c r="D82" s="767"/>
      <c r="E82" s="411">
        <v>9141302</v>
      </c>
      <c r="F82" s="767"/>
      <c r="G82" s="410" t="s">
        <v>1157</v>
      </c>
      <c r="H82" s="767"/>
      <c r="I82" s="928" t="s">
        <v>296</v>
      </c>
      <c r="J82" s="929">
        <v>35.19</v>
      </c>
      <c r="K82" s="767"/>
      <c r="L82" s="1086">
        <v>321666</v>
      </c>
      <c r="M82" s="1008"/>
      <c r="N82" s="767"/>
      <c r="O82" s="1088">
        <v>209766</v>
      </c>
      <c r="P82" s="1008"/>
      <c r="Q82" s="767"/>
    </row>
    <row r="83" spans="2:17" ht="13">
      <c r="B83" s="109"/>
      <c r="C83" s="922" t="s">
        <v>1158</v>
      </c>
      <c r="D83" s="424"/>
      <c r="E83" s="407">
        <v>1045147</v>
      </c>
      <c r="F83" s="424"/>
      <c r="G83" s="405" t="s">
        <v>1145</v>
      </c>
      <c r="H83" s="424"/>
      <c r="I83" s="996"/>
      <c r="J83" s="996"/>
      <c r="K83" s="424"/>
      <c r="L83" s="1054">
        <v>1673094</v>
      </c>
      <c r="M83" s="996"/>
      <c r="N83" s="424"/>
      <c r="O83" s="1018">
        <v>1215722</v>
      </c>
      <c r="P83" s="996"/>
      <c r="Q83" s="424"/>
    </row>
    <row r="84" spans="2:17" ht="13">
      <c r="B84" s="109"/>
      <c r="C84" s="410" t="s">
        <v>1146</v>
      </c>
      <c r="D84" s="767"/>
      <c r="E84" s="411">
        <v>153627653</v>
      </c>
      <c r="F84" s="767"/>
      <c r="G84" s="410" t="s">
        <v>1159</v>
      </c>
      <c r="H84" s="767"/>
      <c r="I84" s="928" t="s">
        <v>296</v>
      </c>
      <c r="J84" s="929">
        <v>3.93</v>
      </c>
      <c r="K84" s="767"/>
      <c r="L84" s="1086">
        <v>603423</v>
      </c>
      <c r="M84" s="1008"/>
      <c r="N84" s="767"/>
      <c r="O84" s="1088">
        <v>482016</v>
      </c>
      <c r="P84" s="1008"/>
      <c r="Q84" s="767"/>
    </row>
    <row r="85" spans="2:17" ht="13">
      <c r="B85" s="109"/>
      <c r="C85" s="405" t="s">
        <v>1160</v>
      </c>
      <c r="D85" s="424"/>
      <c r="E85" s="424"/>
      <c r="F85" s="424"/>
      <c r="G85" s="424"/>
      <c r="H85" s="424"/>
      <c r="I85" s="996"/>
      <c r="J85" s="996"/>
      <c r="K85" s="424"/>
      <c r="L85" s="910" t="s">
        <v>296</v>
      </c>
      <c r="M85" s="925">
        <v>2276517</v>
      </c>
      <c r="N85" s="424"/>
      <c r="O85" s="405" t="s">
        <v>296</v>
      </c>
      <c r="P85" s="923">
        <v>1697738</v>
      </c>
    </row>
    <row r="86" spans="2:17" ht="12.5">
      <c r="B86" s="109"/>
      <c r="C86" s="4" t="s">
        <v>1161</v>
      </c>
      <c r="J86" s="110"/>
      <c r="M86">
        <f>1-(M81/M85)</f>
        <v>0.40636156022555514</v>
      </c>
    </row>
    <row r="87" spans="2:17" ht="12.5">
      <c r="B87" s="113"/>
      <c r="C87" s="114"/>
      <c r="D87" s="122"/>
      <c r="E87" s="114"/>
      <c r="F87" s="114"/>
      <c r="G87" s="114"/>
      <c r="H87" s="114"/>
      <c r="I87" s="114"/>
      <c r="J87" s="115"/>
    </row>
    <row r="89" spans="2:17" ht="12.5">
      <c r="B89" s="105">
        <v>2012</v>
      </c>
      <c r="C89" s="936" t="s">
        <v>1162</v>
      </c>
      <c r="D89" s="107"/>
      <c r="E89" s="107"/>
      <c r="F89" s="107"/>
      <c r="G89" s="107"/>
      <c r="H89" s="107"/>
      <c r="I89" s="107"/>
      <c r="J89" s="107"/>
      <c r="K89" s="107"/>
      <c r="L89" s="107"/>
      <c r="M89" s="108"/>
    </row>
    <row r="90" spans="2:17" ht="12.5">
      <c r="B90" s="109"/>
      <c r="C90" s="225" t="s">
        <v>1163</v>
      </c>
      <c r="M90" s="110"/>
    </row>
    <row r="91" spans="2:17" ht="12.5">
      <c r="B91" s="109"/>
      <c r="M91" s="110"/>
    </row>
    <row r="92" spans="2:17" ht="12.5">
      <c r="B92" s="109"/>
      <c r="C92" s="4" t="s">
        <v>274</v>
      </c>
      <c r="D92" s="4">
        <v>2207.44</v>
      </c>
      <c r="E92" s="4" t="s">
        <v>243</v>
      </c>
      <c r="M92" s="110"/>
    </row>
    <row r="93" spans="2:17" ht="12.5">
      <c r="B93" s="109"/>
      <c r="D93" s="118">
        <v>15065793</v>
      </c>
      <c r="E93" s="4" t="s">
        <v>154</v>
      </c>
      <c r="M93" s="110"/>
    </row>
    <row r="94" spans="2:17" ht="12.5">
      <c r="B94" s="109"/>
      <c r="D94" s="14">
        <v>3.968</v>
      </c>
      <c r="E94" s="4" t="s">
        <v>163</v>
      </c>
      <c r="M94" s="110"/>
    </row>
    <row r="95" spans="2:17" ht="12.5">
      <c r="B95" s="109"/>
      <c r="D95">
        <f>D94*D93</f>
        <v>59781066.623999998</v>
      </c>
      <c r="E95" s="4" t="s">
        <v>164</v>
      </c>
      <c r="F95" s="43"/>
      <c r="M95" s="110"/>
    </row>
    <row r="96" spans="2:17" ht="12.5">
      <c r="B96" s="109"/>
      <c r="C96" s="1071" t="s">
        <v>1164</v>
      </c>
      <c r="D96" s="996"/>
      <c r="E96" s="996"/>
      <c r="F96" s="996"/>
      <c r="G96" s="996"/>
      <c r="H96" s="996"/>
      <c r="I96" s="996"/>
      <c r="M96" s="110"/>
    </row>
    <row r="97" spans="2:18" ht="12.5">
      <c r="B97" s="109"/>
      <c r="C97" s="996"/>
      <c r="D97" s="996"/>
      <c r="E97" s="996"/>
      <c r="F97" s="996"/>
      <c r="G97" s="996"/>
      <c r="H97" s="996"/>
      <c r="I97" s="996"/>
      <c r="M97" s="110"/>
    </row>
    <row r="98" spans="2:18" ht="12.5">
      <c r="B98" s="109"/>
      <c r="C98" s="996"/>
      <c r="D98" s="996"/>
      <c r="E98" s="996"/>
      <c r="F98" s="996"/>
      <c r="G98" s="996"/>
      <c r="H98" s="996"/>
      <c r="I98" s="996"/>
      <c r="M98" s="110"/>
    </row>
    <row r="99" spans="2:18" ht="12.5">
      <c r="B99" s="71"/>
      <c r="M99" s="233">
        <v>2012</v>
      </c>
    </row>
    <row r="100" spans="2:18" ht="13">
      <c r="B100" s="71"/>
      <c r="C100" s="937" t="s">
        <v>1142</v>
      </c>
      <c r="D100" s="582"/>
      <c r="E100" s="938">
        <v>963833</v>
      </c>
      <c r="F100" s="582"/>
      <c r="G100" s="939" t="s">
        <v>1157</v>
      </c>
      <c r="H100" s="939" t="s">
        <v>296</v>
      </c>
      <c r="I100" s="938">
        <v>1670</v>
      </c>
      <c r="J100" s="582"/>
      <c r="K100" s="582"/>
      <c r="L100" s="939" t="s">
        <v>296</v>
      </c>
      <c r="M100" s="940">
        <v>1609172</v>
      </c>
      <c r="N100" s="582"/>
      <c r="O100" s="582"/>
      <c r="P100" s="937" t="s">
        <v>296</v>
      </c>
      <c r="Q100" s="941">
        <v>1351428</v>
      </c>
      <c r="R100" s="582"/>
    </row>
    <row r="101" spans="2:18" ht="13">
      <c r="B101" s="71"/>
      <c r="C101" s="942" t="s">
        <v>834</v>
      </c>
      <c r="D101" s="578"/>
      <c r="E101" s="943">
        <v>8978854</v>
      </c>
      <c r="F101" s="578"/>
      <c r="G101" s="944" t="s">
        <v>1157</v>
      </c>
      <c r="H101" s="944" t="s">
        <v>296</v>
      </c>
      <c r="I101" s="945">
        <v>30.46</v>
      </c>
      <c r="J101" s="578"/>
      <c r="K101" s="578"/>
      <c r="L101" s="1079">
        <v>273455</v>
      </c>
      <c r="M101" s="998"/>
      <c r="N101" s="578"/>
      <c r="O101" s="578"/>
      <c r="P101" s="1078">
        <v>321666</v>
      </c>
      <c r="Q101" s="996"/>
      <c r="R101" s="578"/>
    </row>
    <row r="102" spans="2:18" ht="13">
      <c r="B102" s="71"/>
      <c r="C102" s="937" t="s">
        <v>1158</v>
      </c>
      <c r="D102" s="582"/>
      <c r="E102" s="938">
        <v>1143410</v>
      </c>
      <c r="F102" s="582"/>
      <c r="G102" s="939" t="s">
        <v>1145</v>
      </c>
      <c r="H102" s="996"/>
      <c r="I102" s="996"/>
      <c r="J102" s="996"/>
      <c r="K102" s="582"/>
      <c r="L102" s="1080">
        <v>1882627</v>
      </c>
      <c r="M102" s="998"/>
      <c r="N102" s="582"/>
      <c r="O102" s="582"/>
      <c r="P102" s="1077">
        <v>1673094</v>
      </c>
      <c r="Q102" s="996"/>
      <c r="R102" s="582"/>
    </row>
    <row r="103" spans="2:18" ht="13">
      <c r="B103" s="71"/>
      <c r="C103" s="942" t="s">
        <v>1146</v>
      </c>
      <c r="D103" s="578"/>
      <c r="E103" s="943">
        <v>139047053</v>
      </c>
      <c r="F103" s="578"/>
      <c r="G103" s="944" t="s">
        <v>1159</v>
      </c>
      <c r="H103" s="944" t="s">
        <v>296</v>
      </c>
      <c r="I103" s="945">
        <v>3.6</v>
      </c>
      <c r="J103" s="578"/>
      <c r="K103" s="578"/>
      <c r="L103" s="1079">
        <v>499895</v>
      </c>
      <c r="M103" s="998"/>
      <c r="N103" s="578"/>
      <c r="O103" s="578"/>
      <c r="P103" s="1078">
        <v>603423</v>
      </c>
      <c r="Q103" s="996"/>
      <c r="R103" s="578"/>
    </row>
    <row r="104" spans="2:18" ht="13">
      <c r="B104" s="71"/>
      <c r="C104" s="937" t="s">
        <v>1148</v>
      </c>
      <c r="D104" s="582"/>
      <c r="E104" s="582"/>
      <c r="F104" s="582"/>
      <c r="G104" s="582"/>
      <c r="H104" s="996"/>
      <c r="I104" s="996"/>
      <c r="J104" s="582"/>
      <c r="K104" s="582"/>
      <c r="L104" s="939" t="s">
        <v>296</v>
      </c>
      <c r="M104" s="940">
        <v>2382522</v>
      </c>
      <c r="N104" s="582"/>
      <c r="O104" s="582"/>
      <c r="P104" s="937" t="s">
        <v>296</v>
      </c>
      <c r="Q104" s="941">
        <v>2276517</v>
      </c>
    </row>
    <row r="105" spans="2:18" ht="12.5">
      <c r="B105" s="622"/>
      <c r="C105" s="122" t="s">
        <v>1165</v>
      </c>
      <c r="D105" s="114"/>
      <c r="E105" s="114"/>
      <c r="F105" s="114"/>
      <c r="G105" s="114"/>
      <c r="H105" s="114"/>
      <c r="I105" s="114"/>
      <c r="J105" s="114"/>
      <c r="K105" s="114"/>
      <c r="L105" s="114"/>
      <c r="M105" s="946">
        <f>1-(M100/M104)</f>
        <v>0.32459301530059326</v>
      </c>
      <c r="Q105" s="490"/>
    </row>
    <row r="108" spans="2:18" ht="12.5">
      <c r="B108" s="105">
        <v>2013</v>
      </c>
      <c r="C108" s="589">
        <v>1169988</v>
      </c>
      <c r="D108" s="106" t="s">
        <v>1166</v>
      </c>
      <c r="E108" s="107"/>
      <c r="F108" s="107"/>
      <c r="G108" s="107"/>
      <c r="H108" s="107"/>
      <c r="I108" s="107"/>
      <c r="J108" s="108"/>
    </row>
    <row r="109" spans="2:18" ht="12.5">
      <c r="B109" s="109"/>
      <c r="C109" s="225" t="s">
        <v>1167</v>
      </c>
      <c r="J109" s="110"/>
    </row>
    <row r="110" spans="2:18" ht="12.5">
      <c r="B110" s="109"/>
      <c r="J110" s="110"/>
    </row>
    <row r="111" spans="2:18" ht="12.5">
      <c r="B111" s="109"/>
      <c r="D111" s="4">
        <v>2752.15</v>
      </c>
      <c r="E111" s="4" t="s">
        <v>243</v>
      </c>
      <c r="J111" s="110"/>
    </row>
    <row r="112" spans="2:18" ht="12.5">
      <c r="B112" s="109"/>
      <c r="D112" s="57">
        <v>18783440</v>
      </c>
      <c r="E112" s="4" t="s">
        <v>154</v>
      </c>
      <c r="J112" s="110"/>
    </row>
    <row r="113" spans="2:18" ht="12.5">
      <c r="B113" s="109"/>
      <c r="D113" s="14">
        <v>3.9220000000000002</v>
      </c>
      <c r="E113" s="4" t="s">
        <v>163</v>
      </c>
      <c r="J113" s="110"/>
    </row>
    <row r="114" spans="2:18" ht="12.5">
      <c r="B114" s="109"/>
      <c r="D114" s="34">
        <f>D113*D112</f>
        <v>73668651.680000007</v>
      </c>
      <c r="E114" s="4" t="s">
        <v>164</v>
      </c>
      <c r="J114" s="110"/>
    </row>
    <row r="115" spans="2:18" ht="12.5">
      <c r="B115" s="109"/>
      <c r="J115" s="110"/>
    </row>
    <row r="116" spans="2:18" ht="12.5">
      <c r="B116" s="109"/>
      <c r="C116" s="947" t="s">
        <v>1142</v>
      </c>
      <c r="D116" s="582"/>
      <c r="E116" s="948">
        <v>925496</v>
      </c>
      <c r="F116" s="582"/>
      <c r="G116" s="949" t="s">
        <v>1157</v>
      </c>
      <c r="H116" s="949" t="s">
        <v>296</v>
      </c>
      <c r="I116" s="948">
        <v>1408</v>
      </c>
      <c r="J116" s="950"/>
      <c r="K116" s="582"/>
      <c r="L116" s="949" t="s">
        <v>296</v>
      </c>
      <c r="M116" s="948">
        <v>1302687</v>
      </c>
      <c r="N116" s="582"/>
      <c r="O116" s="582"/>
      <c r="P116" s="947" t="s">
        <v>296</v>
      </c>
      <c r="Q116" s="951">
        <v>1609172</v>
      </c>
      <c r="R116" s="582"/>
    </row>
    <row r="117" spans="2:18" ht="12.5">
      <c r="B117" s="109"/>
      <c r="C117" s="952" t="s">
        <v>834</v>
      </c>
      <c r="D117" s="578"/>
      <c r="E117" s="953">
        <v>8263729</v>
      </c>
      <c r="F117" s="578"/>
      <c r="G117" s="954" t="s">
        <v>1157</v>
      </c>
      <c r="H117" s="954" t="s">
        <v>296</v>
      </c>
      <c r="I117" s="955">
        <v>23.73</v>
      </c>
      <c r="J117" s="956"/>
      <c r="K117" s="578"/>
      <c r="L117" s="1068">
        <v>196129</v>
      </c>
      <c r="M117" s="996"/>
      <c r="N117" s="578"/>
      <c r="O117" s="578"/>
      <c r="P117" s="1074">
        <v>273455</v>
      </c>
      <c r="Q117" s="996"/>
      <c r="R117" s="578"/>
    </row>
    <row r="118" spans="2:18" ht="12.5">
      <c r="B118" s="109"/>
      <c r="C118" s="947" t="s">
        <v>1158</v>
      </c>
      <c r="D118" s="582"/>
      <c r="E118" s="948">
        <v>1090771</v>
      </c>
      <c r="F118" s="582"/>
      <c r="G118" s="949" t="s">
        <v>1145</v>
      </c>
      <c r="H118" s="1038"/>
      <c r="I118" s="996"/>
      <c r="J118" s="998"/>
      <c r="K118" s="582"/>
      <c r="L118" s="1075">
        <v>1498816</v>
      </c>
      <c r="M118" s="996"/>
      <c r="N118" s="582"/>
      <c r="O118" s="582"/>
      <c r="P118" s="1076">
        <v>1882627</v>
      </c>
      <c r="Q118" s="996"/>
      <c r="R118" s="582"/>
    </row>
    <row r="119" spans="2:18" ht="12.5">
      <c r="B119" s="109"/>
      <c r="C119" s="952" t="s">
        <v>1146</v>
      </c>
      <c r="D119" s="578"/>
      <c r="E119" s="953">
        <v>125999185</v>
      </c>
      <c r="F119" s="578"/>
      <c r="G119" s="954" t="s">
        <v>1159</v>
      </c>
      <c r="H119" s="954" t="s">
        <v>296</v>
      </c>
      <c r="I119" s="955">
        <v>3.28</v>
      </c>
      <c r="J119" s="956"/>
      <c r="K119" s="578"/>
      <c r="L119" s="1068">
        <v>413609</v>
      </c>
      <c r="M119" s="996"/>
      <c r="N119" s="578"/>
      <c r="O119" s="578"/>
      <c r="P119" s="1074">
        <v>499895</v>
      </c>
      <c r="Q119" s="996"/>
      <c r="R119" s="578"/>
    </row>
    <row r="120" spans="2:18" ht="12.5">
      <c r="B120" s="109"/>
      <c r="C120" s="947" t="s">
        <v>1148</v>
      </c>
      <c r="D120" s="582"/>
      <c r="E120" s="582"/>
      <c r="F120" s="582"/>
      <c r="G120" s="582"/>
      <c r="H120" s="996"/>
      <c r="I120" s="996"/>
      <c r="J120" s="950"/>
      <c r="K120" s="582"/>
      <c r="L120" s="949" t="s">
        <v>296</v>
      </c>
      <c r="M120" s="948">
        <v>1912425</v>
      </c>
      <c r="N120" s="582"/>
      <c r="O120" s="582"/>
      <c r="P120" s="947" t="s">
        <v>296</v>
      </c>
      <c r="Q120" s="951">
        <v>2382522</v>
      </c>
      <c r="R120" s="582"/>
    </row>
    <row r="121" spans="2:18" ht="12.5">
      <c r="B121" s="109"/>
      <c r="C121" s="952" t="s">
        <v>1168</v>
      </c>
      <c r="J121" s="110"/>
      <c r="M121" s="490">
        <f>1-(M116/M120)</f>
        <v>0.31882975802972668</v>
      </c>
    </row>
    <row r="122" spans="2:18" ht="12.5">
      <c r="B122" s="113"/>
      <c r="C122" s="114"/>
      <c r="D122" s="114"/>
      <c r="E122" s="114"/>
      <c r="F122" s="114"/>
      <c r="G122" s="114"/>
      <c r="H122" s="114"/>
      <c r="I122" s="114"/>
      <c r="J122" s="115"/>
    </row>
    <row r="124" spans="2:18" ht="12.5">
      <c r="B124" s="105">
        <v>2014</v>
      </c>
      <c r="C124" s="936" t="s">
        <v>1169</v>
      </c>
      <c r="D124" s="107"/>
      <c r="E124" s="107"/>
      <c r="F124" s="107"/>
      <c r="G124" s="107"/>
      <c r="H124" s="107"/>
      <c r="I124" s="107"/>
      <c r="J124" s="107"/>
      <c r="K124" s="107"/>
      <c r="L124" s="108"/>
    </row>
    <row r="125" spans="2:18" ht="12.5">
      <c r="B125" s="109"/>
      <c r="C125" s="957" t="s">
        <v>1170</v>
      </c>
      <c r="L125" s="110"/>
    </row>
    <row r="126" spans="2:18" ht="12.5">
      <c r="B126" s="109"/>
      <c r="D126" s="54">
        <v>2014</v>
      </c>
      <c r="E126" s="54">
        <v>2013</v>
      </c>
      <c r="L126" s="110"/>
    </row>
    <row r="127" spans="2:18" ht="12.5">
      <c r="B127" s="109"/>
      <c r="C127" s="954" t="s">
        <v>1171</v>
      </c>
      <c r="D127" s="592">
        <v>1381645</v>
      </c>
      <c r="E127" s="589">
        <v>1169988</v>
      </c>
      <c r="L127" s="110"/>
    </row>
    <row r="128" spans="2:18" ht="12.5">
      <c r="B128" s="109"/>
      <c r="L128" s="110"/>
    </row>
    <row r="129" spans="2:15" ht="12.5">
      <c r="B129" s="109"/>
      <c r="C129" s="4" t="s">
        <v>1172</v>
      </c>
      <c r="L129" s="110"/>
    </row>
    <row r="130" spans="2:15" ht="12.5">
      <c r="B130" s="109"/>
      <c r="L130" s="110"/>
    </row>
    <row r="131" spans="2:15" ht="12.5">
      <c r="B131" s="109"/>
      <c r="D131" s="4">
        <v>88143599.530000001</v>
      </c>
      <c r="E131" s="4" t="s">
        <v>495</v>
      </c>
      <c r="L131" s="110"/>
    </row>
    <row r="132" spans="2:15" ht="12.5">
      <c r="B132" s="109"/>
      <c r="D132" s="4">
        <v>23285075</v>
      </c>
      <c r="E132" s="4" t="s">
        <v>171</v>
      </c>
      <c r="L132" s="110"/>
    </row>
    <row r="133" spans="2:15" ht="12.5">
      <c r="B133" s="109"/>
      <c r="D133" s="14">
        <v>3.8250000000000002</v>
      </c>
      <c r="E133" s="4" t="s">
        <v>163</v>
      </c>
      <c r="L133" s="110"/>
    </row>
    <row r="134" spans="2:15" ht="12.5">
      <c r="B134" s="109"/>
      <c r="D134">
        <f>D133*D132</f>
        <v>89065411.875</v>
      </c>
      <c r="E134" s="4" t="s">
        <v>164</v>
      </c>
      <c r="L134" s="110"/>
    </row>
    <row r="135" spans="2:15" ht="12.5">
      <c r="B135" s="109"/>
      <c r="L135" s="110"/>
    </row>
    <row r="136" spans="2:15" ht="12.5">
      <c r="B136" s="109"/>
      <c r="F136" s="4" t="s">
        <v>167</v>
      </c>
      <c r="L136" s="110"/>
    </row>
    <row r="137" spans="2:15" ht="12.5">
      <c r="B137" s="109"/>
      <c r="C137" s="954" t="s">
        <v>1173</v>
      </c>
      <c r="D137" s="1065">
        <v>2014</v>
      </c>
      <c r="E137" s="996"/>
      <c r="F137" s="996"/>
      <c r="G137" s="996"/>
      <c r="H137" s="996"/>
      <c r="I137" s="996"/>
      <c r="J137" s="996"/>
      <c r="K137" s="996"/>
      <c r="L137" s="998"/>
      <c r="M137" s="1065">
        <v>2013</v>
      </c>
      <c r="N137" s="996"/>
      <c r="O137" s="578"/>
    </row>
    <row r="138" spans="2:15" ht="13">
      <c r="B138" s="109"/>
      <c r="C138" s="958" t="s">
        <v>1174</v>
      </c>
      <c r="D138" s="1065" t="s">
        <v>1175</v>
      </c>
      <c r="E138" s="996"/>
      <c r="F138" s="578"/>
      <c r="G138" s="1065" t="s">
        <v>1176</v>
      </c>
      <c r="H138" s="996"/>
      <c r="I138" s="996"/>
      <c r="J138" s="1065" t="s">
        <v>735</v>
      </c>
      <c r="K138" s="996"/>
      <c r="L138" s="998"/>
      <c r="M138" s="1065" t="s">
        <v>735</v>
      </c>
      <c r="N138" s="996"/>
      <c r="O138" s="996"/>
    </row>
    <row r="139" spans="2:15" ht="12.5">
      <c r="B139" s="109"/>
      <c r="C139" s="947" t="s">
        <v>1142</v>
      </c>
      <c r="D139" s="948">
        <v>1068662</v>
      </c>
      <c r="E139" s="582"/>
      <c r="F139" s="949" t="s">
        <v>1157</v>
      </c>
      <c r="G139" s="949" t="s">
        <v>296</v>
      </c>
      <c r="H139" s="948">
        <v>1256</v>
      </c>
      <c r="I139" s="582"/>
      <c r="J139" s="949" t="s">
        <v>296</v>
      </c>
      <c r="K139" s="948">
        <v>1342762</v>
      </c>
      <c r="L139" s="950"/>
      <c r="M139" s="947" t="s">
        <v>296</v>
      </c>
      <c r="N139" s="951">
        <v>1302687</v>
      </c>
      <c r="O139" s="582"/>
    </row>
    <row r="140" spans="2:15" ht="12.5">
      <c r="B140" s="109"/>
      <c r="C140" s="952" t="s">
        <v>834</v>
      </c>
      <c r="D140" s="953">
        <v>9879448</v>
      </c>
      <c r="E140" s="578"/>
      <c r="F140" s="954" t="s">
        <v>1157</v>
      </c>
      <c r="G140" s="954" t="s">
        <v>296</v>
      </c>
      <c r="H140" s="955">
        <v>18.84</v>
      </c>
      <c r="I140" s="578"/>
      <c r="J140" s="1068">
        <v>186149</v>
      </c>
      <c r="K140" s="996"/>
      <c r="L140" s="956"/>
      <c r="M140" s="1074">
        <v>196129</v>
      </c>
      <c r="N140" s="996"/>
      <c r="O140" s="578"/>
    </row>
    <row r="141" spans="2:15" ht="12.5">
      <c r="B141" s="109"/>
      <c r="C141" s="947" t="s">
        <v>1158</v>
      </c>
      <c r="D141" s="948">
        <v>1266251</v>
      </c>
      <c r="E141" s="582"/>
      <c r="F141" s="959" t="s">
        <v>1145</v>
      </c>
      <c r="G141" s="996"/>
      <c r="H141" s="996"/>
      <c r="I141" s="582"/>
      <c r="J141" s="1075">
        <v>1528911</v>
      </c>
      <c r="K141" s="996"/>
      <c r="L141" s="950"/>
      <c r="M141" s="1076">
        <v>1498816</v>
      </c>
      <c r="N141" s="996"/>
      <c r="O141" s="582"/>
    </row>
    <row r="142" spans="2:15" ht="12.5">
      <c r="B142" s="109"/>
      <c r="C142" s="952" t="s">
        <v>1146</v>
      </c>
      <c r="D142" s="953">
        <v>123463744</v>
      </c>
      <c r="E142" s="578"/>
      <c r="F142" s="954" t="s">
        <v>1159</v>
      </c>
      <c r="G142" s="954" t="s">
        <v>296</v>
      </c>
      <c r="H142" s="955">
        <v>3.12</v>
      </c>
      <c r="I142" s="578"/>
      <c r="J142" s="1068">
        <v>384692</v>
      </c>
      <c r="K142" s="996"/>
      <c r="L142" s="956"/>
      <c r="M142" s="1074">
        <v>413609</v>
      </c>
      <c r="N142" s="996"/>
      <c r="O142" s="578"/>
    </row>
    <row r="143" spans="2:15" ht="12.5">
      <c r="B143" s="109"/>
      <c r="C143" s="947" t="s">
        <v>1177</v>
      </c>
      <c r="D143" s="582"/>
      <c r="E143" s="582"/>
      <c r="F143" s="582"/>
      <c r="G143" s="996"/>
      <c r="H143" s="996"/>
      <c r="I143" s="582"/>
      <c r="J143" s="949" t="s">
        <v>296</v>
      </c>
      <c r="K143" s="948">
        <v>1913603</v>
      </c>
      <c r="L143" s="950"/>
      <c r="M143" s="947" t="s">
        <v>296</v>
      </c>
      <c r="N143" s="951">
        <v>1912425</v>
      </c>
      <c r="O143" s="582"/>
    </row>
    <row r="144" spans="2:15" ht="12.5">
      <c r="B144" s="113"/>
      <c r="C144" s="960"/>
      <c r="D144" s="114"/>
      <c r="E144" s="114"/>
      <c r="F144" s="114"/>
      <c r="G144" s="114"/>
      <c r="H144" s="114"/>
      <c r="I144" s="114"/>
      <c r="J144" s="114"/>
      <c r="K144" s="189">
        <f>1-(K139/K143)</f>
        <v>0.29830691109911511</v>
      </c>
      <c r="L144" s="115"/>
    </row>
    <row r="146" spans="2:15" ht="12.5">
      <c r="B146" s="105">
        <v>2015</v>
      </c>
      <c r="C146" s="961" t="s">
        <v>1178</v>
      </c>
      <c r="D146" s="1066">
        <v>1275375</v>
      </c>
      <c r="E146" s="1000"/>
      <c r="F146" s="107"/>
      <c r="G146" s="107"/>
      <c r="H146" s="107"/>
      <c r="I146" s="107"/>
      <c r="J146" s="107"/>
      <c r="K146" s="107"/>
      <c r="L146" s="107"/>
      <c r="M146" s="108"/>
    </row>
    <row r="147" spans="2:15" ht="12.5">
      <c r="B147" s="109"/>
      <c r="D147" s="962" t="s">
        <v>1179</v>
      </c>
      <c r="E147" s="4" t="s">
        <v>1180</v>
      </c>
      <c r="J147" s="963" t="s">
        <v>1181</v>
      </c>
      <c r="K147" s="964">
        <v>170.4</v>
      </c>
      <c r="L147" s="964"/>
      <c r="M147" s="965"/>
      <c r="N147" s="1073" t="s">
        <v>933</v>
      </c>
      <c r="O147" s="996"/>
    </row>
    <row r="148" spans="2:15" ht="12.5">
      <c r="B148" s="109"/>
      <c r="D148">
        <f>(1234000+1305000)/2</f>
        <v>1269500</v>
      </c>
      <c r="M148" s="110"/>
    </row>
    <row r="149" spans="2:15" ht="12.5">
      <c r="B149" s="109"/>
      <c r="M149" s="110"/>
    </row>
    <row r="150" spans="2:15" ht="12.5">
      <c r="B150" s="109"/>
      <c r="D150" s="20" t="s">
        <v>1182</v>
      </c>
      <c r="M150" s="110"/>
    </row>
    <row r="151" spans="2:15" ht="14">
      <c r="B151" s="109"/>
      <c r="D151" s="966">
        <v>74775945</v>
      </c>
      <c r="E151" s="4" t="s">
        <v>1183</v>
      </c>
      <c r="M151" s="110"/>
    </row>
    <row r="152" spans="2:15" ht="12.5">
      <c r="B152" s="109"/>
      <c r="D152" s="4">
        <v>19753714.857999999</v>
      </c>
      <c r="E152" s="4" t="s">
        <v>171</v>
      </c>
      <c r="M152" s="110"/>
    </row>
    <row r="153" spans="2:15" ht="12.5">
      <c r="B153" s="109"/>
      <c r="D153" s="14">
        <v>2.7069999999999999</v>
      </c>
      <c r="E153" s="4" t="s">
        <v>163</v>
      </c>
      <c r="M153" s="110"/>
    </row>
    <row r="154" spans="2:15" ht="12.5">
      <c r="B154" s="109"/>
      <c r="D154">
        <f>D153*D152</f>
        <v>53473306.120605998</v>
      </c>
      <c r="E154" s="4" t="s">
        <v>164</v>
      </c>
      <c r="M154" s="110"/>
    </row>
    <row r="155" spans="2:15" ht="12.5">
      <c r="B155" s="109"/>
      <c r="M155" s="110"/>
    </row>
    <row r="156" spans="2:15" ht="12.5">
      <c r="B156" s="109"/>
      <c r="C156" s="1071" t="s">
        <v>1184</v>
      </c>
      <c r="D156" s="996"/>
      <c r="E156" s="996"/>
      <c r="F156" s="996"/>
      <c r="G156" s="996"/>
      <c r="H156" s="996"/>
      <c r="I156" s="996"/>
      <c r="J156" s="996"/>
      <c r="M156" s="110"/>
    </row>
    <row r="157" spans="2:15" ht="12.5">
      <c r="B157" s="109"/>
      <c r="C157" s="996"/>
      <c r="D157" s="996"/>
      <c r="E157" s="996"/>
      <c r="F157" s="996"/>
      <c r="G157" s="996"/>
      <c r="H157" s="996"/>
      <c r="I157" s="996"/>
      <c r="J157" s="996"/>
      <c r="M157" s="110"/>
    </row>
    <row r="158" spans="2:15" ht="12.5">
      <c r="B158" s="109"/>
      <c r="C158" s="996"/>
      <c r="D158" s="996"/>
      <c r="E158" s="996"/>
      <c r="F158" s="996"/>
      <c r="G158" s="996"/>
      <c r="H158" s="996"/>
      <c r="I158" s="996"/>
      <c r="J158" s="996"/>
      <c r="M158" s="110"/>
    </row>
    <row r="159" spans="2:15" ht="12.5">
      <c r="B159" s="109"/>
      <c r="M159" s="110"/>
    </row>
    <row r="160" spans="2:15" ht="12.5">
      <c r="B160" s="109"/>
      <c r="M160" s="110"/>
    </row>
    <row r="161" spans="2:14" ht="12.5">
      <c r="B161" s="109"/>
      <c r="M161" s="110"/>
    </row>
    <row r="162" spans="2:14" ht="12.5">
      <c r="B162" s="109"/>
      <c r="C162" s="967" t="s">
        <v>1185</v>
      </c>
      <c r="D162" s="968" t="s">
        <v>1175</v>
      </c>
      <c r="E162" s="578"/>
      <c r="F162" s="996"/>
      <c r="G162" s="996"/>
      <c r="H162" s="996"/>
      <c r="I162" s="1070" t="s">
        <v>735</v>
      </c>
      <c r="J162" s="996"/>
      <c r="K162" s="578"/>
      <c r="L162" s="1067" t="s">
        <v>735</v>
      </c>
      <c r="M162" s="998"/>
      <c r="N162" s="578"/>
    </row>
    <row r="163" spans="2:14" ht="12.5">
      <c r="B163" s="109"/>
      <c r="C163" s="969" t="s">
        <v>1142</v>
      </c>
      <c r="D163" s="970">
        <v>1248401</v>
      </c>
      <c r="E163" s="971" t="s">
        <v>1157</v>
      </c>
      <c r="F163" s="971" t="s">
        <v>296</v>
      </c>
      <c r="G163" s="970">
        <v>1156</v>
      </c>
      <c r="H163" s="578"/>
      <c r="I163" s="971" t="s">
        <v>296</v>
      </c>
      <c r="J163" s="972">
        <v>1442.9</v>
      </c>
      <c r="K163" s="578"/>
      <c r="L163" s="969" t="s">
        <v>296</v>
      </c>
      <c r="M163" s="973">
        <v>1342.8</v>
      </c>
      <c r="N163" s="578"/>
    </row>
    <row r="164" spans="2:14" ht="12.5">
      <c r="B164" s="109"/>
      <c r="C164" s="963" t="s">
        <v>834</v>
      </c>
      <c r="D164" s="974">
        <v>8902381</v>
      </c>
      <c r="E164" s="975" t="s">
        <v>1157</v>
      </c>
      <c r="F164" s="975" t="s">
        <v>296</v>
      </c>
      <c r="G164" s="976">
        <v>15.71</v>
      </c>
      <c r="H164" s="965"/>
      <c r="I164" s="1072">
        <v>139.9</v>
      </c>
      <c r="J164" s="996"/>
      <c r="K164" s="965"/>
      <c r="L164" s="1073">
        <v>186.1</v>
      </c>
      <c r="M164" s="998"/>
      <c r="N164" s="965"/>
    </row>
    <row r="165" spans="2:14" ht="12.5">
      <c r="B165" s="109"/>
      <c r="C165" s="969" t="s">
        <v>1146</v>
      </c>
      <c r="D165" s="970">
        <v>125963419</v>
      </c>
      <c r="E165" s="971" t="s">
        <v>1159</v>
      </c>
      <c r="F165" s="971" t="s">
        <v>296</v>
      </c>
      <c r="G165" s="968">
        <v>2.68</v>
      </c>
      <c r="H165" s="578"/>
      <c r="I165" s="1070">
        <v>337.3</v>
      </c>
      <c r="J165" s="996"/>
      <c r="K165" s="578"/>
      <c r="L165" s="1067">
        <v>384.7</v>
      </c>
      <c r="M165" s="998"/>
      <c r="N165" s="578"/>
    </row>
    <row r="166" spans="2:14" ht="12.5">
      <c r="B166" s="109"/>
      <c r="C166" s="963" t="s">
        <v>1177</v>
      </c>
      <c r="D166" s="965"/>
      <c r="E166" s="965"/>
      <c r="I166" s="975" t="s">
        <v>296</v>
      </c>
      <c r="J166" s="977">
        <v>1920.1</v>
      </c>
      <c r="K166" s="965"/>
      <c r="L166" s="963" t="s">
        <v>296</v>
      </c>
      <c r="M166" s="978">
        <v>1913.6</v>
      </c>
      <c r="N166" s="965"/>
    </row>
    <row r="167" spans="2:14" ht="12.5">
      <c r="B167" s="113"/>
      <c r="C167" s="979" t="s">
        <v>1168</v>
      </c>
      <c r="D167" s="114"/>
      <c r="E167" s="114"/>
      <c r="F167" s="114"/>
      <c r="G167" s="114"/>
      <c r="H167" s="114"/>
      <c r="I167" s="114"/>
      <c r="J167" s="114">
        <f>1-(J163/J166)</f>
        <v>0.24852872246237168</v>
      </c>
      <c r="K167" s="114"/>
      <c r="L167" s="114"/>
      <c r="M167" s="115"/>
    </row>
    <row r="169" spans="2:14" ht="12.5">
      <c r="B169" s="980"/>
      <c r="F169" s="578"/>
      <c r="G169" s="1067"/>
      <c r="H169" s="996"/>
      <c r="I169" s="980"/>
      <c r="J169" s="980"/>
      <c r="K169" s="980"/>
    </row>
    <row r="170" spans="2:14" ht="12.5">
      <c r="B170" s="980"/>
      <c r="F170" s="578"/>
      <c r="G170" s="1067"/>
      <c r="H170" s="996"/>
      <c r="I170" s="980"/>
      <c r="J170" s="980"/>
      <c r="K170" s="980"/>
    </row>
    <row r="171" spans="2:14" ht="12.5">
      <c r="B171" s="980"/>
      <c r="F171" s="980"/>
      <c r="G171" s="980"/>
      <c r="H171" s="980"/>
      <c r="I171" s="980"/>
      <c r="J171" s="980"/>
      <c r="K171" s="980"/>
    </row>
    <row r="172" spans="2:14" ht="12.5">
      <c r="B172" s="980"/>
      <c r="C172" s="980"/>
      <c r="D172" s="980"/>
      <c r="E172" s="980"/>
      <c r="F172" s="980"/>
      <c r="G172" s="980"/>
      <c r="H172" s="980"/>
      <c r="I172" s="980"/>
      <c r="J172" s="980"/>
      <c r="K172" s="980"/>
    </row>
    <row r="174" spans="2:14" ht="12.5">
      <c r="K174" s="578"/>
    </row>
    <row r="175" spans="2:14" ht="12.5">
      <c r="K175" s="578"/>
    </row>
    <row r="176" spans="2:14" ht="12.5">
      <c r="B176" s="4">
        <v>2016</v>
      </c>
      <c r="C176" s="981">
        <v>1009079</v>
      </c>
      <c r="E176" s="982"/>
    </row>
    <row r="177" spans="2:15" ht="12.5">
      <c r="B177" s="139"/>
      <c r="C177" s="983">
        <v>1140000</v>
      </c>
      <c r="D177" s="106" t="s">
        <v>1186</v>
      </c>
      <c r="E177" s="107"/>
      <c r="F177" s="107"/>
      <c r="G177" s="107"/>
      <c r="H177" s="107"/>
      <c r="I177" s="107"/>
      <c r="J177" s="107"/>
      <c r="K177" s="107"/>
      <c r="L177" s="107"/>
      <c r="M177" s="107"/>
      <c r="N177" s="108"/>
    </row>
    <row r="178" spans="2:15" ht="12.5">
      <c r="B178" s="109"/>
      <c r="N178" s="110"/>
    </row>
    <row r="179" spans="2:15" ht="14">
      <c r="B179" s="109"/>
      <c r="C179" s="984" t="s">
        <v>1187</v>
      </c>
      <c r="D179" s="984" t="s">
        <v>1188</v>
      </c>
      <c r="E179" s="984" t="s">
        <v>1189</v>
      </c>
      <c r="F179" s="984" t="s">
        <v>1190</v>
      </c>
      <c r="G179" s="984" t="s">
        <v>1191</v>
      </c>
      <c r="H179" s="984" t="s">
        <v>1192</v>
      </c>
      <c r="I179" s="984" t="s">
        <v>1193</v>
      </c>
      <c r="J179" s="984" t="s">
        <v>1194</v>
      </c>
      <c r="K179" s="984" t="s">
        <v>1195</v>
      </c>
      <c r="L179" s="984" t="s">
        <v>1196</v>
      </c>
      <c r="M179" s="984" t="s">
        <v>835</v>
      </c>
      <c r="N179" s="110"/>
    </row>
    <row r="180" spans="2:15" ht="14">
      <c r="B180" s="109"/>
      <c r="C180" s="985" t="s">
        <v>1197</v>
      </c>
      <c r="D180" s="966">
        <v>41903</v>
      </c>
      <c r="E180" s="966">
        <v>77727</v>
      </c>
      <c r="F180" s="966">
        <v>46351</v>
      </c>
      <c r="G180" s="966">
        <v>26820</v>
      </c>
      <c r="H180" s="966">
        <v>383664</v>
      </c>
      <c r="I180" s="966">
        <v>52665</v>
      </c>
      <c r="J180" s="966">
        <v>19556</v>
      </c>
      <c r="K180" s="966">
        <v>103584</v>
      </c>
      <c r="L180" s="966">
        <v>136707</v>
      </c>
      <c r="M180" s="966">
        <v>17082</v>
      </c>
      <c r="N180" s="966">
        <v>906059</v>
      </c>
    </row>
    <row r="181" spans="2:15" ht="12.5">
      <c r="B181" s="109"/>
      <c r="N181" s="110"/>
    </row>
    <row r="182" spans="2:15" ht="12.5">
      <c r="B182" s="109"/>
      <c r="C182" s="4">
        <v>24755710</v>
      </c>
      <c r="D182" s="4" t="s">
        <v>154</v>
      </c>
      <c r="K182" s="105" t="s">
        <v>1198</v>
      </c>
      <c r="L182" s="107"/>
      <c r="M182" s="108"/>
      <c r="N182" s="110"/>
    </row>
    <row r="183" spans="2:15" ht="12.5">
      <c r="B183" s="109"/>
      <c r="C183" s="14">
        <v>2.3039999999999998</v>
      </c>
      <c r="D183" s="4" t="s">
        <v>163</v>
      </c>
      <c r="K183" s="986" t="s">
        <v>1199</v>
      </c>
      <c r="L183" s="1072">
        <v>59.8</v>
      </c>
      <c r="M183" s="998"/>
      <c r="N183" s="110"/>
    </row>
    <row r="184" spans="2:15" ht="12.5">
      <c r="B184" s="109"/>
      <c r="C184">
        <f>C183*C182</f>
        <v>57037155.839999996</v>
      </c>
      <c r="D184" s="4" t="s">
        <v>164</v>
      </c>
      <c r="K184" s="987" t="s">
        <v>1200</v>
      </c>
      <c r="L184" s="1070">
        <v>164.8</v>
      </c>
      <c r="M184" s="998"/>
      <c r="N184" s="110"/>
    </row>
    <row r="185" spans="2:15" ht="12.5">
      <c r="B185" s="109"/>
      <c r="K185" s="988"/>
      <c r="L185" s="989"/>
      <c r="M185" s="990">
        <f>L184+L183</f>
        <v>224.60000000000002</v>
      </c>
      <c r="N185" s="110"/>
    </row>
    <row r="186" spans="2:15" ht="12.5">
      <c r="B186" s="109"/>
      <c r="C186" s="967" t="s">
        <v>1201</v>
      </c>
      <c r="D186" s="968" t="s">
        <v>1175</v>
      </c>
      <c r="E186" s="578"/>
      <c r="F186" s="578"/>
      <c r="G186" s="1070" t="s">
        <v>1202</v>
      </c>
      <c r="H186" s="996"/>
      <c r="I186" s="578"/>
      <c r="J186" s="1070" t="s">
        <v>735</v>
      </c>
      <c r="K186" s="996"/>
      <c r="L186" s="578"/>
      <c r="M186" s="1067" t="s">
        <v>735</v>
      </c>
      <c r="N186" s="998"/>
      <c r="O186" s="578"/>
    </row>
    <row r="187" spans="2:15" ht="12.5">
      <c r="B187" s="109"/>
      <c r="C187" s="963" t="s">
        <v>1142</v>
      </c>
      <c r="D187" s="974">
        <v>1188267</v>
      </c>
      <c r="E187" s="965"/>
      <c r="F187" s="975" t="s">
        <v>1157</v>
      </c>
      <c r="G187" s="975" t="s">
        <v>296</v>
      </c>
      <c r="H187" s="974">
        <v>1240</v>
      </c>
      <c r="I187" s="965"/>
      <c r="J187" s="975" t="s">
        <v>296</v>
      </c>
      <c r="K187" s="977">
        <v>1473.5</v>
      </c>
      <c r="L187" s="965"/>
      <c r="M187" s="963" t="s">
        <v>296</v>
      </c>
      <c r="N187" s="978">
        <v>1316.5</v>
      </c>
      <c r="O187" s="965"/>
    </row>
    <row r="188" spans="2:15" ht="12.5">
      <c r="B188" s="109"/>
      <c r="C188" s="969" t="s">
        <v>834</v>
      </c>
      <c r="D188" s="970">
        <v>6604212</v>
      </c>
      <c r="E188" s="578"/>
      <c r="F188" s="971" t="s">
        <v>1157</v>
      </c>
      <c r="G188" s="971" t="s">
        <v>296</v>
      </c>
      <c r="H188" s="968">
        <v>17.059999999999999</v>
      </c>
      <c r="I188" s="578"/>
      <c r="J188" s="1070">
        <v>112.7</v>
      </c>
      <c r="K188" s="996"/>
      <c r="L188" s="578"/>
      <c r="M188" s="1067">
        <v>134</v>
      </c>
      <c r="N188" s="998"/>
      <c r="O188" s="578"/>
    </row>
    <row r="189" spans="2:15" ht="12.5">
      <c r="B189" s="109"/>
      <c r="C189" s="963" t="s">
        <v>1146</v>
      </c>
      <c r="D189" s="974">
        <v>104923875</v>
      </c>
      <c r="E189" s="965"/>
      <c r="F189" s="975" t="s">
        <v>1159</v>
      </c>
      <c r="G189" s="975" t="s">
        <v>296</v>
      </c>
      <c r="H189" s="976">
        <v>1.92</v>
      </c>
      <c r="I189" s="965"/>
      <c r="J189" s="1072">
        <v>201.5</v>
      </c>
      <c r="K189" s="996"/>
      <c r="L189" s="965"/>
      <c r="M189" s="1073">
        <v>270.10000000000002</v>
      </c>
      <c r="N189" s="998"/>
      <c r="O189" s="965"/>
    </row>
    <row r="190" spans="2:15" ht="12.5">
      <c r="B190" s="109"/>
      <c r="C190" s="971" t="s">
        <v>1203</v>
      </c>
      <c r="D190" s="996"/>
      <c r="E190" s="996"/>
      <c r="F190" s="578"/>
      <c r="G190" s="996"/>
      <c r="H190" s="996"/>
      <c r="I190" s="996"/>
      <c r="J190" s="971" t="s">
        <v>296</v>
      </c>
      <c r="K190" s="972">
        <v>1787.7</v>
      </c>
      <c r="L190" s="578"/>
      <c r="M190" s="969" t="s">
        <v>296</v>
      </c>
      <c r="N190" s="973">
        <v>1720.6</v>
      </c>
    </row>
    <row r="191" spans="2:15" ht="12.5">
      <c r="B191" s="109"/>
      <c r="C191" s="4" t="s">
        <v>254</v>
      </c>
      <c r="K191" s="34">
        <f>1-(K187/K190)</f>
        <v>0.17575655870671814</v>
      </c>
      <c r="N191" s="110"/>
    </row>
    <row r="192" spans="2:15" ht="12.5">
      <c r="B192" s="113"/>
      <c r="C192" s="114"/>
      <c r="D192" s="114"/>
      <c r="E192" s="114"/>
      <c r="F192" s="114"/>
      <c r="G192" s="114"/>
      <c r="H192" s="114"/>
      <c r="I192" s="114"/>
      <c r="J192" s="114"/>
      <c r="K192" s="114"/>
      <c r="L192" s="114"/>
      <c r="M192" s="114"/>
      <c r="N192" s="115"/>
    </row>
    <row r="194" spans="2:13" ht="12.5">
      <c r="B194" s="4">
        <v>2017</v>
      </c>
      <c r="C194" s="963" t="s">
        <v>74</v>
      </c>
      <c r="D194" s="974">
        <v>977316</v>
      </c>
    </row>
    <row r="195" spans="2:13" ht="12.5">
      <c r="C195" s="4" t="s">
        <v>1186</v>
      </c>
      <c r="D195" s="991">
        <v>900000</v>
      </c>
    </row>
    <row r="197" spans="2:13" ht="12.5">
      <c r="C197" s="4" t="s">
        <v>1204</v>
      </c>
    </row>
    <row r="198" spans="2:13" ht="12.5">
      <c r="C198" s="4" t="s">
        <v>1043</v>
      </c>
      <c r="D198">
        <f>0.55*1335265</f>
        <v>734395.75000000012</v>
      </c>
    </row>
    <row r="199" spans="2:13" ht="12.5">
      <c r="C199" s="4" t="s">
        <v>171</v>
      </c>
      <c r="D199" s="155">
        <v>20065457</v>
      </c>
    </row>
    <row r="200" spans="2:13" ht="12.5">
      <c r="C200" s="4" t="s">
        <v>163</v>
      </c>
      <c r="D200" s="14">
        <v>2.65</v>
      </c>
    </row>
    <row r="201" spans="2:13" ht="12.5">
      <c r="C201" s="4" t="s">
        <v>164</v>
      </c>
      <c r="D201">
        <f>D200*D199</f>
        <v>53173461.049999997</v>
      </c>
    </row>
    <row r="202" spans="2:13" ht="12.5">
      <c r="C202" s="1071" t="s">
        <v>1205</v>
      </c>
      <c r="D202" s="996"/>
      <c r="E202" s="996"/>
      <c r="F202" s="996"/>
      <c r="G202" s="996"/>
      <c r="H202" s="996"/>
      <c r="I202" s="996"/>
      <c r="J202" s="996"/>
      <c r="K202" s="996"/>
    </row>
    <row r="203" spans="2:13" ht="15.75" customHeight="1">
      <c r="C203" s="996"/>
      <c r="D203" s="996"/>
      <c r="E203" s="996"/>
      <c r="F203" s="996"/>
      <c r="G203" s="996"/>
      <c r="H203" s="996"/>
      <c r="I203" s="996"/>
      <c r="J203" s="996"/>
      <c r="K203" s="996"/>
    </row>
    <row r="204" spans="2:13" ht="15.75" customHeight="1">
      <c r="C204" s="996"/>
      <c r="D204" s="996"/>
      <c r="E204" s="996"/>
      <c r="F204" s="996"/>
      <c r="G204" s="996"/>
      <c r="H204" s="996"/>
      <c r="I204" s="996"/>
      <c r="J204" s="996"/>
      <c r="K204" s="996"/>
    </row>
    <row r="205" spans="2:13" ht="15.75" customHeight="1">
      <c r="C205" s="996"/>
      <c r="D205" s="996"/>
      <c r="E205" s="996"/>
      <c r="F205" s="996"/>
      <c r="G205" s="996"/>
      <c r="H205" s="996"/>
      <c r="I205" s="996"/>
      <c r="J205" s="996"/>
      <c r="K205" s="996"/>
    </row>
    <row r="206" spans="2:13" ht="12.5">
      <c r="H206" s="4" t="s">
        <v>1206</v>
      </c>
      <c r="I206" s="4" t="s">
        <v>1207</v>
      </c>
      <c r="J206" s="4" t="s">
        <v>1208</v>
      </c>
      <c r="K206" s="4" t="s">
        <v>255</v>
      </c>
      <c r="L206" s="4" t="s">
        <v>1209</v>
      </c>
    </row>
    <row r="207" spans="2:13" ht="12.5">
      <c r="C207" s="4" t="s">
        <v>107</v>
      </c>
      <c r="F207" s="4">
        <f>1.5/12</f>
        <v>0.125</v>
      </c>
      <c r="H207">
        <f>284200-152300</f>
        <v>131900</v>
      </c>
      <c r="I207">
        <f>-F213</f>
        <v>-9.0458042080140175E-2</v>
      </c>
      <c r="J207">
        <f>F214</f>
        <v>-0.44901877745656887</v>
      </c>
      <c r="K207">
        <f>J207+I207</f>
        <v>-0.53947681953670901</v>
      </c>
      <c r="L207" s="34">
        <f>-K207*H207</f>
        <v>71156.992496891922</v>
      </c>
      <c r="M207" s="4" t="s">
        <v>521</v>
      </c>
    </row>
    <row r="208" spans="2:13" ht="12.5">
      <c r="C208" s="4" t="s">
        <v>108</v>
      </c>
      <c r="F208" s="4">
        <v>1302.55</v>
      </c>
    </row>
    <row r="209" spans="3:15" ht="12.5">
      <c r="C209" s="4" t="s">
        <v>109</v>
      </c>
      <c r="F209" s="4">
        <v>1E-3</v>
      </c>
    </row>
    <row r="210" spans="3:15" ht="12.5">
      <c r="C210" s="4" t="s">
        <v>112</v>
      </c>
      <c r="F210" s="4">
        <v>0.1341</v>
      </c>
    </row>
    <row r="211" spans="3:15" ht="12.5">
      <c r="C211" s="4" t="s">
        <v>114</v>
      </c>
      <c r="F211" s="4">
        <v>1414</v>
      </c>
      <c r="J211" s="4" t="s">
        <v>1210</v>
      </c>
    </row>
    <row r="212" spans="3:15" ht="12.5">
      <c r="C212" s="4" t="s">
        <v>115</v>
      </c>
      <c r="F212" s="4">
        <v>1300</v>
      </c>
      <c r="J212" s="587">
        <v>216</v>
      </c>
    </row>
    <row r="213" spans="3:15" ht="12.5">
      <c r="C213" s="4" t="s">
        <v>117</v>
      </c>
      <c r="F213" s="4">
        <v>9.0458042080140175E-2</v>
      </c>
    </row>
    <row r="214" spans="3:15" ht="12.5">
      <c r="C214" s="4" t="s">
        <v>118</v>
      </c>
      <c r="F214" s="4">
        <v>-0.44901877745656887</v>
      </c>
    </row>
    <row r="216" spans="3:15" ht="12.5">
      <c r="C216" s="992" t="s">
        <v>1211</v>
      </c>
      <c r="D216" s="578"/>
      <c r="E216" s="578"/>
      <c r="F216" s="1070" t="s">
        <v>1202</v>
      </c>
      <c r="G216" s="996"/>
      <c r="H216" s="578"/>
      <c r="I216" s="1070" t="s">
        <v>1212</v>
      </c>
      <c r="J216" s="996"/>
      <c r="K216" s="578"/>
      <c r="L216" s="1067" t="s">
        <v>1212</v>
      </c>
      <c r="M216" s="996"/>
      <c r="N216" s="578"/>
    </row>
    <row r="217" spans="3:15" ht="12.5">
      <c r="C217" s="963" t="s">
        <v>1142</v>
      </c>
      <c r="D217" s="974">
        <v>1147204</v>
      </c>
      <c r="E217" s="965"/>
      <c r="F217" s="975" t="s">
        <v>1157</v>
      </c>
      <c r="G217" s="975" t="s">
        <v>296</v>
      </c>
      <c r="H217" s="974">
        <v>1250</v>
      </c>
      <c r="I217" s="965"/>
      <c r="J217" s="975" t="s">
        <v>296</v>
      </c>
      <c r="K217" s="977">
        <v>1433.9</v>
      </c>
      <c r="L217" s="965"/>
      <c r="M217" s="963" t="s">
        <v>296</v>
      </c>
      <c r="N217" s="993">
        <v>1473.5</v>
      </c>
      <c r="O217" s="965"/>
    </row>
    <row r="218" spans="3:15" ht="12.5">
      <c r="C218" s="969" t="s">
        <v>834</v>
      </c>
      <c r="D218" s="970">
        <v>5125689</v>
      </c>
      <c r="E218" s="578"/>
      <c r="F218" s="971" t="s">
        <v>1157</v>
      </c>
      <c r="G218" s="971" t="s">
        <v>296</v>
      </c>
      <c r="H218" s="968">
        <v>16.8</v>
      </c>
      <c r="I218" s="578"/>
      <c r="J218" s="1070">
        <v>86.1</v>
      </c>
      <c r="K218" s="996"/>
      <c r="L218" s="578"/>
      <c r="M218" s="1067">
        <v>112.7</v>
      </c>
      <c r="N218" s="996"/>
      <c r="O218" s="578"/>
    </row>
    <row r="219" spans="3:15" ht="12.5">
      <c r="C219" s="963" t="s">
        <v>1146</v>
      </c>
      <c r="D219" s="974">
        <v>120066492</v>
      </c>
      <c r="E219" s="965"/>
      <c r="F219" s="975" t="s">
        <v>1159</v>
      </c>
      <c r="G219" s="975" t="s">
        <v>296</v>
      </c>
      <c r="H219" s="976">
        <v>2.36</v>
      </c>
      <c r="I219" s="965"/>
      <c r="J219" s="1072">
        <v>283.8</v>
      </c>
      <c r="K219" s="996"/>
      <c r="L219" s="965"/>
      <c r="M219" s="1073">
        <v>201.5</v>
      </c>
      <c r="N219" s="996"/>
      <c r="O219" s="965"/>
    </row>
    <row r="220" spans="3:15" ht="12.5">
      <c r="C220" s="971" t="s">
        <v>735</v>
      </c>
      <c r="D220" s="996"/>
      <c r="E220" s="996"/>
      <c r="F220" s="578"/>
      <c r="G220" s="996"/>
      <c r="H220" s="996"/>
      <c r="I220" s="996"/>
      <c r="J220" s="971" t="s">
        <v>296</v>
      </c>
      <c r="K220" s="972">
        <v>1803.8</v>
      </c>
      <c r="L220" s="578"/>
      <c r="M220" s="969" t="s">
        <v>296</v>
      </c>
      <c r="N220" s="994">
        <v>1787.7</v>
      </c>
    </row>
    <row r="221" spans="3:15" ht="12.5">
      <c r="C221" s="4" t="s">
        <v>1149</v>
      </c>
      <c r="K221" s="34">
        <f>1-(K217/K220)</f>
        <v>0.20506708060760614</v>
      </c>
    </row>
    <row r="224" spans="3:15" ht="12.5">
      <c r="C224" s="1069" t="s">
        <v>1213</v>
      </c>
      <c r="D224" s="996"/>
      <c r="E224" s="996"/>
      <c r="F224" s="996"/>
      <c r="G224" s="996"/>
      <c r="H224" s="996"/>
      <c r="I224" s="996"/>
      <c r="J224" s="996"/>
    </row>
    <row r="225" spans="3:10" ht="15.75" customHeight="1">
      <c r="C225" s="996"/>
      <c r="D225" s="996"/>
      <c r="E225" s="996"/>
      <c r="F225" s="996"/>
      <c r="G225" s="996"/>
      <c r="H225" s="996"/>
      <c r="I225" s="996"/>
      <c r="J225" s="996"/>
    </row>
    <row r="226" spans="3:10" ht="15.75" customHeight="1">
      <c r="C226" s="996"/>
      <c r="D226" s="996"/>
      <c r="E226" s="996"/>
      <c r="F226" s="996"/>
      <c r="G226" s="996"/>
      <c r="H226" s="996"/>
      <c r="I226" s="996"/>
      <c r="J226" s="996"/>
    </row>
    <row r="227" spans="3:10" ht="15.75" customHeight="1">
      <c r="C227" s="996"/>
      <c r="D227" s="996"/>
      <c r="E227" s="996"/>
      <c r="F227" s="996"/>
      <c r="G227" s="996"/>
      <c r="H227" s="996"/>
      <c r="I227" s="996"/>
      <c r="J227" s="996"/>
    </row>
  </sheetData>
  <mergeCells count="97">
    <mergeCell ref="L84:M84"/>
    <mergeCell ref="O84:P84"/>
    <mergeCell ref="I85:J85"/>
    <mergeCell ref="G53:H53"/>
    <mergeCell ref="G55:H55"/>
    <mergeCell ref="J50:K50"/>
    <mergeCell ref="J49:K49"/>
    <mergeCell ref="D80:F80"/>
    <mergeCell ref="H80:I80"/>
    <mergeCell ref="G49:H49"/>
    <mergeCell ref="G50:H50"/>
    <mergeCell ref="N50:O50"/>
    <mergeCell ref="J54:K54"/>
    <mergeCell ref="N80:O80"/>
    <mergeCell ref="K80:L80"/>
    <mergeCell ref="I83:J83"/>
    <mergeCell ref="O82:P82"/>
    <mergeCell ref="L83:M83"/>
    <mergeCell ref="O83:P83"/>
    <mergeCell ref="L82:M82"/>
    <mergeCell ref="B12:J13"/>
    <mergeCell ref="B10:J11"/>
    <mergeCell ref="B17:J20"/>
    <mergeCell ref="J53:K53"/>
    <mergeCell ref="J52:K52"/>
    <mergeCell ref="J22:K22"/>
    <mergeCell ref="C45:I46"/>
    <mergeCell ref="M22:N22"/>
    <mergeCell ref="D21:H21"/>
    <mergeCell ref="D22:E22"/>
    <mergeCell ref="G22:H22"/>
    <mergeCell ref="J21:N21"/>
    <mergeCell ref="C96:I98"/>
    <mergeCell ref="L119:M119"/>
    <mergeCell ref="P102:Q102"/>
    <mergeCell ref="P101:Q101"/>
    <mergeCell ref="L101:M101"/>
    <mergeCell ref="P117:Q117"/>
    <mergeCell ref="L118:M118"/>
    <mergeCell ref="L117:M117"/>
    <mergeCell ref="H102:J102"/>
    <mergeCell ref="L102:M102"/>
    <mergeCell ref="P103:Q103"/>
    <mergeCell ref="L103:M103"/>
    <mergeCell ref="P118:Q118"/>
    <mergeCell ref="M141:N141"/>
    <mergeCell ref="M142:N142"/>
    <mergeCell ref="P119:Q119"/>
    <mergeCell ref="H118:J118"/>
    <mergeCell ref="H104:I104"/>
    <mergeCell ref="M137:N137"/>
    <mergeCell ref="J138:L138"/>
    <mergeCell ref="M188:N188"/>
    <mergeCell ref="M189:N189"/>
    <mergeCell ref="J189:K189"/>
    <mergeCell ref="L165:M165"/>
    <mergeCell ref="L184:M184"/>
    <mergeCell ref="J186:K186"/>
    <mergeCell ref="M186:N186"/>
    <mergeCell ref="J188:K188"/>
    <mergeCell ref="J140:K140"/>
    <mergeCell ref="M140:N140"/>
    <mergeCell ref="M138:O138"/>
    <mergeCell ref="N147:O147"/>
    <mergeCell ref="L183:M183"/>
    <mergeCell ref="L162:M162"/>
    <mergeCell ref="M218:N218"/>
    <mergeCell ref="M219:N219"/>
    <mergeCell ref="L216:M216"/>
    <mergeCell ref="G169:H169"/>
    <mergeCell ref="I164:J164"/>
    <mergeCell ref="I165:J165"/>
    <mergeCell ref="G186:H186"/>
    <mergeCell ref="L164:M164"/>
    <mergeCell ref="C224:J227"/>
    <mergeCell ref="D220:E220"/>
    <mergeCell ref="F216:G216"/>
    <mergeCell ref="C202:K205"/>
    <mergeCell ref="I216:J216"/>
    <mergeCell ref="J219:K219"/>
    <mergeCell ref="J218:K218"/>
    <mergeCell ref="G170:H170"/>
    <mergeCell ref="G220:I220"/>
    <mergeCell ref="J142:K142"/>
    <mergeCell ref="D190:E190"/>
    <mergeCell ref="G190:I190"/>
    <mergeCell ref="C156:J158"/>
    <mergeCell ref="F162:H162"/>
    <mergeCell ref="I162:J162"/>
    <mergeCell ref="G143:H143"/>
    <mergeCell ref="H120:I120"/>
    <mergeCell ref="D137:L137"/>
    <mergeCell ref="D146:E146"/>
    <mergeCell ref="G138:I138"/>
    <mergeCell ref="D138:E138"/>
    <mergeCell ref="G141:H141"/>
    <mergeCell ref="J141:K141"/>
  </mergeCells>
  <hyperlinks>
    <hyperlink ref="D15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1001"/>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4.453125" defaultRowHeight="15.75" customHeight="1"/>
  <cols>
    <col min="3" max="3" width="8.453125" customWidth="1"/>
    <col min="4" max="4" width="8.08984375" customWidth="1"/>
    <col min="5" max="5" width="7.54296875" hidden="1" customWidth="1"/>
    <col min="6" max="6" width="7" customWidth="1"/>
    <col min="7" max="7" width="16.08984375" customWidth="1"/>
    <col min="8" max="8" width="12.453125" customWidth="1"/>
    <col min="9" max="9" width="8.81640625" customWidth="1"/>
    <col min="11" max="11" width="12" customWidth="1"/>
    <col min="12" max="12" width="11.54296875" customWidth="1"/>
    <col min="14" max="17" width="14.08984375" customWidth="1"/>
    <col min="18" max="18" width="15" customWidth="1"/>
    <col min="31" max="33" width="12" customWidth="1"/>
    <col min="34" max="34" width="11.26953125" customWidth="1"/>
  </cols>
  <sheetData>
    <row r="1" spans="1:38" ht="56.25" customHeight="1">
      <c r="A1" s="1"/>
      <c r="B1" s="1"/>
      <c r="C1" s="1"/>
      <c r="D1" s="1"/>
      <c r="E1" s="1"/>
      <c r="F1" s="3"/>
      <c r="G1" s="3"/>
      <c r="H1" s="5" t="s">
        <v>5</v>
      </c>
      <c r="I1" s="5" t="s">
        <v>16</v>
      </c>
      <c r="J1" s="5" t="s">
        <v>18</v>
      </c>
      <c r="K1" s="7"/>
      <c r="L1" s="9" t="s">
        <v>29</v>
      </c>
      <c r="M1" s="5" t="s">
        <v>40</v>
      </c>
      <c r="N1" s="11"/>
      <c r="O1" s="11"/>
      <c r="P1" s="9"/>
      <c r="Q1" s="9" t="s">
        <v>41</v>
      </c>
      <c r="R1" s="13"/>
      <c r="S1" s="15"/>
      <c r="T1" s="15"/>
      <c r="U1" s="15"/>
      <c r="V1" s="15"/>
      <c r="W1" s="15"/>
      <c r="X1" s="15"/>
      <c r="Y1" s="15"/>
      <c r="Z1" s="15"/>
      <c r="AA1" s="15"/>
      <c r="AB1" s="17" t="s">
        <v>44</v>
      </c>
      <c r="AC1" s="17" t="s">
        <v>52</v>
      </c>
      <c r="AD1" s="19" t="s">
        <v>53</v>
      </c>
      <c r="AE1" s="21"/>
      <c r="AF1" s="21"/>
      <c r="AG1" s="21" t="s">
        <v>68</v>
      </c>
      <c r="AH1" s="23" t="s">
        <v>69</v>
      </c>
      <c r="AI1" s="23" t="s">
        <v>68</v>
      </c>
      <c r="AJ1" s="25"/>
      <c r="AK1" s="25"/>
      <c r="AL1" s="25"/>
    </row>
    <row r="2" spans="1:38" ht="45" customHeight="1">
      <c r="A2" s="28" t="s">
        <v>1</v>
      </c>
      <c r="B2" s="28" t="s">
        <v>2</v>
      </c>
      <c r="C2" s="28" t="s">
        <v>3</v>
      </c>
      <c r="D2" s="28" t="s">
        <v>4</v>
      </c>
      <c r="E2" s="28" t="s">
        <v>71</v>
      </c>
      <c r="F2" s="3" t="s">
        <v>72</v>
      </c>
      <c r="G2" s="3" t="s">
        <v>73</v>
      </c>
      <c r="H2" s="5" t="s">
        <v>74</v>
      </c>
      <c r="I2" s="5" t="s">
        <v>75</v>
      </c>
      <c r="J2" s="5" t="s">
        <v>76</v>
      </c>
      <c r="K2" s="7" t="s">
        <v>77</v>
      </c>
      <c r="L2" s="9" t="s">
        <v>78</v>
      </c>
      <c r="M2" s="5" t="s">
        <v>79</v>
      </c>
      <c r="N2" s="11" t="s">
        <v>80</v>
      </c>
      <c r="O2" s="11" t="s">
        <v>81</v>
      </c>
      <c r="P2" s="9" t="s">
        <v>82</v>
      </c>
      <c r="Q2" s="9" t="s">
        <v>83</v>
      </c>
      <c r="R2" s="13" t="s">
        <v>84</v>
      </c>
      <c r="S2" s="15" t="s">
        <v>85</v>
      </c>
      <c r="T2" s="15" t="s">
        <v>86</v>
      </c>
      <c r="U2" s="15" t="s">
        <v>87</v>
      </c>
      <c r="V2" s="15" t="s">
        <v>88</v>
      </c>
      <c r="W2" s="15" t="s">
        <v>89</v>
      </c>
      <c r="X2" s="15" t="s">
        <v>90</v>
      </c>
      <c r="Y2" s="15" t="s">
        <v>91</v>
      </c>
      <c r="Z2" s="15" t="s">
        <v>60</v>
      </c>
      <c r="AA2" s="15" t="s">
        <v>92</v>
      </c>
      <c r="AB2" s="17" t="s">
        <v>93</v>
      </c>
      <c r="AC2" s="17" t="s">
        <v>94</v>
      </c>
      <c r="AD2" s="19" t="s">
        <v>95</v>
      </c>
      <c r="AE2" s="21" t="s">
        <v>96</v>
      </c>
      <c r="AF2" s="21" t="s">
        <v>97</v>
      </c>
      <c r="AG2" s="21" t="s">
        <v>98</v>
      </c>
      <c r="AH2" s="35" t="s">
        <v>63</v>
      </c>
      <c r="AI2" s="37" t="s">
        <v>99</v>
      </c>
      <c r="AJ2" s="25" t="s">
        <v>100</v>
      </c>
      <c r="AK2" s="25" t="s">
        <v>101</v>
      </c>
      <c r="AL2" s="25" t="s">
        <v>102</v>
      </c>
    </row>
    <row r="3" spans="1:38" ht="14.5">
      <c r="A3" s="40">
        <v>2004</v>
      </c>
      <c r="B3" s="41" t="s">
        <v>103</v>
      </c>
      <c r="C3" s="41" t="s">
        <v>104</v>
      </c>
      <c r="D3" s="41" t="s">
        <v>105</v>
      </c>
      <c r="E3" s="40">
        <v>11</v>
      </c>
      <c r="H3" s="43"/>
      <c r="I3" s="43"/>
      <c r="J3" s="43"/>
      <c r="K3" s="44"/>
      <c r="L3" s="45"/>
      <c r="M3" s="43"/>
      <c r="N3" s="46"/>
      <c r="O3" s="46"/>
      <c r="P3" s="45"/>
      <c r="Q3" s="45"/>
      <c r="R3" s="45"/>
      <c r="S3" s="43"/>
      <c r="T3" s="43"/>
      <c r="U3" s="43"/>
      <c r="V3" s="43"/>
      <c r="W3" s="43"/>
      <c r="X3" s="43"/>
      <c r="Y3" s="43"/>
      <c r="Z3" s="43"/>
      <c r="AA3" s="43"/>
      <c r="AB3" s="43"/>
      <c r="AC3" s="43"/>
      <c r="AD3" s="43"/>
      <c r="AE3" s="48"/>
      <c r="AF3" s="48"/>
      <c r="AG3" s="48"/>
      <c r="AH3" s="50"/>
    </row>
    <row r="4" spans="1:38" ht="14.5">
      <c r="A4" s="40">
        <v>2005</v>
      </c>
      <c r="B4" s="41" t="s">
        <v>103</v>
      </c>
      <c r="C4" s="41" t="s">
        <v>104</v>
      </c>
      <c r="D4" s="41" t="s">
        <v>105</v>
      </c>
      <c r="E4" s="40">
        <v>11</v>
      </c>
      <c r="H4" s="43"/>
      <c r="I4" s="43"/>
      <c r="J4" s="43"/>
      <c r="K4" s="44"/>
      <c r="L4" s="45"/>
      <c r="M4" s="43"/>
      <c r="N4" s="46"/>
      <c r="O4" s="46"/>
      <c r="P4" s="45"/>
      <c r="Q4" s="45"/>
      <c r="R4" s="45"/>
      <c r="S4" s="43"/>
      <c r="T4" s="43"/>
      <c r="U4" s="43"/>
      <c r="V4" s="43"/>
      <c r="W4" s="43"/>
      <c r="X4" s="43"/>
      <c r="Y4" s="43"/>
      <c r="Z4" s="43"/>
      <c r="AA4" s="43"/>
      <c r="AB4" s="43"/>
      <c r="AC4" s="43"/>
      <c r="AD4" s="43"/>
      <c r="AE4" s="48"/>
      <c r="AF4" s="48"/>
      <c r="AG4" s="48"/>
      <c r="AH4" s="50"/>
    </row>
    <row r="5" spans="1:38" ht="14.5">
      <c r="A5" s="40">
        <v>2006</v>
      </c>
      <c r="B5" s="41" t="s">
        <v>103</v>
      </c>
      <c r="C5" s="41" t="s">
        <v>104</v>
      </c>
      <c r="D5" s="41" t="s">
        <v>105</v>
      </c>
      <c r="E5" s="40">
        <v>11</v>
      </c>
      <c r="I5" s="43"/>
      <c r="J5" s="43"/>
      <c r="K5" s="44"/>
      <c r="L5" s="45"/>
      <c r="M5" s="43"/>
      <c r="N5" s="46"/>
      <c r="O5" s="46"/>
      <c r="P5" s="45"/>
      <c r="Q5" s="45"/>
      <c r="R5" s="45"/>
      <c r="S5" s="43"/>
      <c r="T5" s="43"/>
      <c r="U5" s="43"/>
      <c r="V5" s="43"/>
      <c r="W5" s="43"/>
      <c r="X5" s="43"/>
      <c r="Y5" s="43"/>
      <c r="Z5" s="43"/>
      <c r="AA5" s="43"/>
      <c r="AB5" s="43"/>
      <c r="AC5" s="43"/>
      <c r="AD5" s="43"/>
      <c r="AE5" s="48"/>
      <c r="AF5" s="48"/>
      <c r="AG5" s="48"/>
      <c r="AH5" s="50"/>
    </row>
    <row r="6" spans="1:38" ht="14.5">
      <c r="A6" s="40">
        <v>2007</v>
      </c>
      <c r="B6" s="41" t="s">
        <v>103</v>
      </c>
      <c r="C6" s="41" t="s">
        <v>104</v>
      </c>
      <c r="D6" s="41" t="s">
        <v>105</v>
      </c>
      <c r="E6" s="40">
        <v>11</v>
      </c>
      <c r="H6" s="52"/>
      <c r="I6" s="43"/>
      <c r="J6" s="43"/>
      <c r="K6" s="44"/>
      <c r="L6" s="45"/>
      <c r="M6" s="43"/>
      <c r="N6" s="46"/>
      <c r="O6" s="46"/>
      <c r="P6" s="45"/>
      <c r="Q6" s="45"/>
      <c r="R6" s="45"/>
      <c r="S6" s="43"/>
      <c r="T6" s="43"/>
      <c r="U6" s="43"/>
      <c r="V6" s="43"/>
      <c r="W6" s="43"/>
      <c r="X6" s="43"/>
      <c r="Y6" s="43"/>
      <c r="Z6" s="43"/>
      <c r="AA6" s="43"/>
      <c r="AB6" s="43"/>
      <c r="AC6" s="43"/>
      <c r="AD6" s="43"/>
      <c r="AE6" s="48"/>
      <c r="AF6" s="48"/>
      <c r="AG6" s="48"/>
      <c r="AH6" s="50"/>
    </row>
    <row r="7" spans="1:38" ht="14.5">
      <c r="A7" s="40">
        <v>2008</v>
      </c>
      <c r="B7" s="41" t="s">
        <v>103</v>
      </c>
      <c r="C7" s="41" t="s">
        <v>104</v>
      </c>
      <c r="D7" s="41" t="s">
        <v>105</v>
      </c>
      <c r="E7" s="40">
        <v>11</v>
      </c>
      <c r="I7" s="43"/>
      <c r="J7" s="43"/>
      <c r="K7" s="44"/>
      <c r="L7" s="45"/>
      <c r="M7" s="43"/>
      <c r="N7" s="46"/>
      <c r="O7" s="46"/>
      <c r="P7" s="45"/>
      <c r="Q7" s="45"/>
      <c r="R7" s="45"/>
      <c r="S7" s="43"/>
      <c r="T7" s="43"/>
      <c r="U7" s="43"/>
      <c r="V7" s="43"/>
      <c r="W7" s="43"/>
      <c r="X7" s="43"/>
      <c r="Y7" s="43"/>
      <c r="Z7" s="43"/>
      <c r="AA7" s="43"/>
      <c r="AB7" s="43"/>
      <c r="AC7" s="43"/>
      <c r="AD7" s="43"/>
      <c r="AE7" s="48"/>
      <c r="AF7" s="48"/>
      <c r="AG7" s="48"/>
      <c r="AH7" s="50"/>
    </row>
    <row r="8" spans="1:38" ht="14.5">
      <c r="A8" s="22">
        <v>2009</v>
      </c>
      <c r="B8" s="24" t="s">
        <v>103</v>
      </c>
      <c r="C8" s="24" t="s">
        <v>104</v>
      </c>
      <c r="D8" s="24" t="s">
        <v>105</v>
      </c>
      <c r="E8" s="22">
        <v>11</v>
      </c>
      <c r="F8" s="54" t="s">
        <v>106</v>
      </c>
      <c r="G8" s="56">
        <v>40178</v>
      </c>
      <c r="H8" s="57">
        <v>492972</v>
      </c>
      <c r="I8" s="59"/>
      <c r="J8" s="57">
        <v>3525376</v>
      </c>
      <c r="K8" s="61">
        <f t="shared" ref="K8:K16" si="0">J8/H8</f>
        <v>7.1512702547000639</v>
      </c>
      <c r="L8" s="62">
        <f>J8*2.467/M8</f>
        <v>2.8392398069979563E-2</v>
      </c>
      <c r="M8" s="57">
        <v>306318000</v>
      </c>
      <c r="N8" s="64">
        <v>0</v>
      </c>
      <c r="O8" s="64">
        <v>0</v>
      </c>
      <c r="P8" s="65"/>
      <c r="Q8" s="62">
        <v>0</v>
      </c>
      <c r="R8" s="62">
        <v>0</v>
      </c>
      <c r="S8" s="67">
        <v>1590523.02</v>
      </c>
      <c r="T8" s="67">
        <v>162558</v>
      </c>
      <c r="U8" s="69">
        <v>164414</v>
      </c>
      <c r="V8" s="69"/>
      <c r="W8" s="69"/>
      <c r="X8" s="69"/>
      <c r="Y8" s="69">
        <v>157</v>
      </c>
      <c r="Z8" s="74">
        <f t="shared" ref="Z8:Z16" si="1">T8/(1000000*Y8)</f>
        <v>1.0354012738853504E-3</v>
      </c>
      <c r="AA8" s="74">
        <f t="shared" ref="AA8:AA16" si="2">S8/(Y8*1000000)</f>
        <v>1.0130719872611466E-2</v>
      </c>
      <c r="AB8" s="34"/>
      <c r="AC8" s="57">
        <v>347</v>
      </c>
      <c r="AD8" s="57">
        <v>1100000</v>
      </c>
      <c r="AE8" s="64">
        <v>0</v>
      </c>
      <c r="AF8" s="64">
        <v>0</v>
      </c>
      <c r="AG8" s="64">
        <v>0</v>
      </c>
      <c r="AH8" s="76">
        <f>(59155+57034+22571+127)/613762</f>
        <v>0.22628803998944216</v>
      </c>
      <c r="AI8" s="54">
        <v>1</v>
      </c>
      <c r="AJ8" s="78" t="s">
        <v>111</v>
      </c>
      <c r="AK8" s="78" t="s">
        <v>116</v>
      </c>
      <c r="AL8" s="34"/>
    </row>
    <row r="9" spans="1:38" ht="14.5">
      <c r="A9" s="22">
        <v>2010</v>
      </c>
      <c r="B9" s="24" t="s">
        <v>103</v>
      </c>
      <c r="C9" s="24" t="s">
        <v>104</v>
      </c>
      <c r="D9" s="24" t="s">
        <v>105</v>
      </c>
      <c r="E9" s="22">
        <v>11</v>
      </c>
      <c r="F9" s="54" t="s">
        <v>106</v>
      </c>
      <c r="G9" s="80">
        <v>40543</v>
      </c>
      <c r="H9" s="57">
        <v>987607</v>
      </c>
      <c r="I9" s="59">
        <f t="shared" ref="I9:I16" si="3">(H9/H8)-1</f>
        <v>1.0033734167457786</v>
      </c>
      <c r="J9" s="57">
        <v>20556812</v>
      </c>
      <c r="K9" s="61">
        <f t="shared" si="0"/>
        <v>20.814769437640681</v>
      </c>
      <c r="L9" s="81">
        <f>J9*'diesel prices'!C6/M9</f>
        <v>9.0787488640120928E-2</v>
      </c>
      <c r="M9" s="82">
        <v>677472000</v>
      </c>
      <c r="N9" s="64">
        <v>0</v>
      </c>
      <c r="O9" s="64">
        <v>0</v>
      </c>
      <c r="P9" s="65"/>
      <c r="Q9" s="62">
        <v>0</v>
      </c>
      <c r="R9" s="62">
        <v>0</v>
      </c>
      <c r="S9" s="67">
        <v>1824846.18</v>
      </c>
      <c r="T9" s="67">
        <v>270958</v>
      </c>
      <c r="U9" s="67">
        <v>168203</v>
      </c>
      <c r="V9" s="67"/>
      <c r="W9" s="67"/>
      <c r="X9" s="67"/>
      <c r="Y9" s="67">
        <v>169</v>
      </c>
      <c r="Z9" s="74">
        <f t="shared" si="1"/>
        <v>1.603301775147929E-3</v>
      </c>
      <c r="AA9" s="74">
        <f t="shared" si="2"/>
        <v>1.0797906390532543E-2</v>
      </c>
      <c r="AB9" s="34"/>
      <c r="AC9" s="57">
        <v>451</v>
      </c>
      <c r="AD9" s="84">
        <v>1165376.26</v>
      </c>
      <c r="AE9" s="64">
        <v>0</v>
      </c>
      <c r="AF9" s="64">
        <v>0</v>
      </c>
      <c r="AG9" s="64">
        <v>0</v>
      </c>
      <c r="AH9" s="76">
        <f>1-(1216249/1422521)</f>
        <v>0.14500453771859956</v>
      </c>
      <c r="AI9" s="54">
        <v>0</v>
      </c>
      <c r="AJ9" s="78" t="s">
        <v>127</v>
      </c>
      <c r="AK9" s="78" t="s">
        <v>128</v>
      </c>
      <c r="AL9" s="34"/>
    </row>
    <row r="10" spans="1:38" ht="14.5">
      <c r="A10" s="22">
        <v>2011</v>
      </c>
      <c r="B10" s="24" t="s">
        <v>103</v>
      </c>
      <c r="C10" s="24" t="s">
        <v>104</v>
      </c>
      <c r="D10" s="24" t="s">
        <v>105</v>
      </c>
      <c r="E10" s="22">
        <v>11</v>
      </c>
      <c r="F10" s="54" t="s">
        <v>106</v>
      </c>
      <c r="G10" s="85">
        <v>40908</v>
      </c>
      <c r="H10" s="86">
        <v>985460</v>
      </c>
      <c r="I10" s="59">
        <f t="shared" si="3"/>
        <v>-2.1739416589797722E-3</v>
      </c>
      <c r="J10" s="57">
        <v>25017093.357999999</v>
      </c>
      <c r="K10" s="87">
        <f t="shared" si="0"/>
        <v>25.386208834452944</v>
      </c>
      <c r="L10" s="88">
        <f>96065638.49472/M10</f>
        <v>0.1096542071536096</v>
      </c>
      <c r="M10" s="89">
        <v>876078000</v>
      </c>
      <c r="N10" s="64">
        <v>0</v>
      </c>
      <c r="O10" s="64">
        <v>0</v>
      </c>
      <c r="P10" s="65"/>
      <c r="Q10" s="62">
        <v>0</v>
      </c>
      <c r="R10" s="62">
        <v>0</v>
      </c>
      <c r="S10" s="67">
        <v>2414798.09</v>
      </c>
      <c r="T10" s="67">
        <v>396191</v>
      </c>
      <c r="U10" s="67">
        <v>144474</v>
      </c>
      <c r="V10" s="67"/>
      <c r="W10" s="67"/>
      <c r="X10" s="67"/>
      <c r="Y10" s="67">
        <v>171</v>
      </c>
      <c r="Z10" s="74">
        <f t="shared" si="1"/>
        <v>2.316906432748538E-3</v>
      </c>
      <c r="AA10" s="74">
        <f t="shared" si="2"/>
        <v>1.4121626257309941E-2</v>
      </c>
      <c r="AB10" s="34"/>
      <c r="AC10" s="57">
        <v>580</v>
      </c>
      <c r="AD10" s="84">
        <v>912500</v>
      </c>
      <c r="AE10" s="64">
        <v>0</v>
      </c>
      <c r="AF10" s="64">
        <v>0</v>
      </c>
      <c r="AG10" s="64">
        <v>0</v>
      </c>
      <c r="AH10" s="76">
        <f>1-(1563760/1821799)</f>
        <v>0.14163966496852831</v>
      </c>
      <c r="AI10" s="54">
        <v>0</v>
      </c>
      <c r="AJ10" s="78" t="s">
        <v>129</v>
      </c>
      <c r="AK10" s="34"/>
      <c r="AL10" s="34"/>
    </row>
    <row r="11" spans="1:38" ht="14.5">
      <c r="A11" s="22">
        <v>2012</v>
      </c>
      <c r="B11" s="24" t="s">
        <v>103</v>
      </c>
      <c r="C11" s="24" t="s">
        <v>104</v>
      </c>
      <c r="D11" s="24" t="s">
        <v>105</v>
      </c>
      <c r="E11" s="22">
        <v>11</v>
      </c>
      <c r="F11" s="54" t="s">
        <v>106</v>
      </c>
      <c r="G11" s="85">
        <v>41274</v>
      </c>
      <c r="H11" s="86">
        <v>1043811</v>
      </c>
      <c r="I11" s="59">
        <f t="shared" si="3"/>
        <v>5.9211941631319487E-2</v>
      </c>
      <c r="J11" s="57">
        <v>26417205.236000001</v>
      </c>
      <c r="K11" s="87">
        <f t="shared" si="0"/>
        <v>25.308418129335678</v>
      </c>
      <c r="L11" s="88">
        <f>104823470.376448/M11</f>
        <v>0.11676737124651114</v>
      </c>
      <c r="M11" s="89">
        <v>897712000</v>
      </c>
      <c r="N11" s="64">
        <v>500000</v>
      </c>
      <c r="O11" s="64">
        <v>500000</v>
      </c>
      <c r="P11" s="65"/>
      <c r="Q11" s="88">
        <f>500000/J11</f>
        <v>1.8927058919867339E-2</v>
      </c>
      <c r="R11" s="62">
        <v>0</v>
      </c>
      <c r="S11" s="67">
        <v>2546054.42</v>
      </c>
      <c r="T11" s="67">
        <v>485928</v>
      </c>
      <c r="U11" s="67">
        <v>165274</v>
      </c>
      <c r="V11" s="67"/>
      <c r="W11" s="67"/>
      <c r="X11" s="67"/>
      <c r="Y11" s="67">
        <v>172</v>
      </c>
      <c r="Z11" s="74">
        <f t="shared" si="1"/>
        <v>2.8251627906976744E-3</v>
      </c>
      <c r="AA11" s="74">
        <f t="shared" si="2"/>
        <v>1.4802641976744186E-2</v>
      </c>
      <c r="AB11" s="34"/>
      <c r="AC11" s="90">
        <v>640</v>
      </c>
      <c r="AD11" s="90">
        <v>990000</v>
      </c>
      <c r="AE11" s="64">
        <v>0</v>
      </c>
      <c r="AF11" s="64">
        <v>0</v>
      </c>
      <c r="AG11" s="64">
        <v>0</v>
      </c>
      <c r="AH11" s="76">
        <f>1-(1712666/1917714)</f>
        <v>0.10692313869534242</v>
      </c>
      <c r="AI11" s="54">
        <v>0</v>
      </c>
      <c r="AJ11" s="78" t="s">
        <v>134</v>
      </c>
      <c r="AK11" s="78" t="s">
        <v>141</v>
      </c>
      <c r="AL11" s="34"/>
    </row>
    <row r="12" spans="1:38" ht="14.5">
      <c r="A12" s="22">
        <v>2013</v>
      </c>
      <c r="B12" s="24" t="s">
        <v>103</v>
      </c>
      <c r="C12" s="24" t="s">
        <v>104</v>
      </c>
      <c r="D12" s="24" t="s">
        <v>105</v>
      </c>
      <c r="E12" s="22">
        <v>11</v>
      </c>
      <c r="F12" s="54" t="s">
        <v>142</v>
      </c>
      <c r="G12" s="85">
        <v>41639</v>
      </c>
      <c r="H12" s="86">
        <v>1099335</v>
      </c>
      <c r="I12" s="59">
        <f t="shared" si="3"/>
        <v>5.3193537910598776E-2</v>
      </c>
      <c r="J12" s="57">
        <v>26681377.288199998</v>
      </c>
      <c r="K12" s="87">
        <f t="shared" si="0"/>
        <v>24.270470137128353</v>
      </c>
      <c r="L12" s="88">
        <f>104644361/M12</f>
        <v>0.11313796764501415</v>
      </c>
      <c r="M12" s="57">
        <v>924927000</v>
      </c>
      <c r="N12" s="64">
        <v>0</v>
      </c>
      <c r="O12" s="64">
        <v>0</v>
      </c>
      <c r="P12" s="65"/>
      <c r="Q12" s="62">
        <v>0</v>
      </c>
      <c r="R12" s="62">
        <v>0</v>
      </c>
      <c r="S12" s="67">
        <v>1473806.92</v>
      </c>
      <c r="T12" s="67">
        <v>680403</v>
      </c>
      <c r="U12" s="67">
        <v>169607</v>
      </c>
      <c r="V12" s="67"/>
      <c r="W12" s="67"/>
      <c r="X12" s="67"/>
      <c r="Y12" s="67">
        <v>174</v>
      </c>
      <c r="Z12" s="74">
        <f t="shared" si="1"/>
        <v>3.910362068965517E-3</v>
      </c>
      <c r="AA12" s="74">
        <f t="shared" si="2"/>
        <v>8.4701547126436773E-3</v>
      </c>
      <c r="AB12" s="34"/>
      <c r="AC12" s="90">
        <v>672</v>
      </c>
      <c r="AD12" s="86">
        <v>1275000</v>
      </c>
      <c r="AE12" s="64">
        <v>0</v>
      </c>
      <c r="AF12" s="64">
        <v>0</v>
      </c>
      <c r="AG12" s="64">
        <v>0</v>
      </c>
      <c r="AH12" s="76">
        <f>1-(1500354/1638406)</f>
        <v>8.4259945337114228E-2</v>
      </c>
      <c r="AI12" s="54">
        <v>0</v>
      </c>
      <c r="AJ12" s="78" t="s">
        <v>143</v>
      </c>
      <c r="AK12" s="78" t="s">
        <v>144</v>
      </c>
      <c r="AL12" s="34"/>
    </row>
    <row r="13" spans="1:38" ht="14.5">
      <c r="A13" s="22">
        <v>2014</v>
      </c>
      <c r="B13" s="24" t="s">
        <v>103</v>
      </c>
      <c r="C13" s="24" t="s">
        <v>104</v>
      </c>
      <c r="D13" s="24" t="s">
        <v>105</v>
      </c>
      <c r="E13" s="22">
        <v>11</v>
      </c>
      <c r="F13" s="54" t="s">
        <v>142</v>
      </c>
      <c r="G13" s="85">
        <v>42004</v>
      </c>
      <c r="H13" s="86">
        <v>1429288</v>
      </c>
      <c r="I13" s="59">
        <f t="shared" si="3"/>
        <v>0.3001387202263186</v>
      </c>
      <c r="J13" s="57">
        <v>28266409.602299999</v>
      </c>
      <c r="K13" s="87">
        <f t="shared" si="0"/>
        <v>19.776566795705275</v>
      </c>
      <c r="L13" s="88">
        <f>108119016.728798/M13</f>
        <v>0.10762833913070113</v>
      </c>
      <c r="M13" s="57">
        <v>1004559000</v>
      </c>
      <c r="N13" s="64">
        <v>14000000</v>
      </c>
      <c r="O13" s="64">
        <v>14000000</v>
      </c>
      <c r="P13" s="65" t="s">
        <v>145</v>
      </c>
      <c r="Q13" s="88">
        <v>0.49528752314057034</v>
      </c>
      <c r="R13" s="62">
        <v>0</v>
      </c>
      <c r="S13" s="67">
        <v>1878806.92</v>
      </c>
      <c r="T13" s="67">
        <v>949786</v>
      </c>
      <c r="U13" s="67">
        <v>186487</v>
      </c>
      <c r="V13" s="67"/>
      <c r="W13" s="67"/>
      <c r="X13" s="67"/>
      <c r="Y13" s="67">
        <v>214</v>
      </c>
      <c r="Z13" s="74">
        <f t="shared" si="1"/>
        <v>4.4382523364485983E-3</v>
      </c>
      <c r="AA13" s="74">
        <f t="shared" si="2"/>
        <v>8.7794715887850455E-3</v>
      </c>
      <c r="AB13" s="54">
        <v>721</v>
      </c>
      <c r="AC13" s="90">
        <v>637</v>
      </c>
      <c r="AD13" s="86">
        <v>1600000</v>
      </c>
      <c r="AE13" s="64">
        <v>0</v>
      </c>
      <c r="AF13" s="64">
        <v>0</v>
      </c>
      <c r="AG13" s="64">
        <v>0</v>
      </c>
      <c r="AH13" s="76">
        <f>1-(1807927/1896766)</f>
        <v>4.6837090078586385E-2</v>
      </c>
      <c r="AI13" s="54">
        <v>0</v>
      </c>
      <c r="AJ13" s="78" t="s">
        <v>146</v>
      </c>
      <c r="AK13" s="78" t="s">
        <v>147</v>
      </c>
      <c r="AL13" s="34"/>
    </row>
    <row r="14" spans="1:38" ht="14.5">
      <c r="A14" s="22">
        <v>2015</v>
      </c>
      <c r="B14" s="24" t="s">
        <v>103</v>
      </c>
      <c r="C14" s="24" t="s">
        <v>104</v>
      </c>
      <c r="D14" s="24" t="s">
        <v>105</v>
      </c>
      <c r="E14" s="22">
        <v>11</v>
      </c>
      <c r="F14" s="54" t="s">
        <v>142</v>
      </c>
      <c r="G14" s="85">
        <v>42369</v>
      </c>
      <c r="H14" s="104">
        <v>1671340</v>
      </c>
      <c r="I14" s="59">
        <f t="shared" si="3"/>
        <v>0.1693514533110192</v>
      </c>
      <c r="J14" s="57">
        <v>29745773.0955</v>
      </c>
      <c r="K14" s="87">
        <f t="shared" si="0"/>
        <v>17.797559500460707</v>
      </c>
      <c r="L14" s="88">
        <f>80521807.7695185/M14</f>
        <v>8.0902453814716738E-2</v>
      </c>
      <c r="M14" s="57">
        <v>995295000</v>
      </c>
      <c r="N14" s="64">
        <v>7000000</v>
      </c>
      <c r="O14" s="64">
        <v>7000000</v>
      </c>
      <c r="P14" s="65"/>
      <c r="Q14" s="88">
        <v>0.23532755317961374</v>
      </c>
      <c r="R14" s="62">
        <v>0</v>
      </c>
      <c r="S14" s="67">
        <v>1373826.6</v>
      </c>
      <c r="T14" s="67">
        <v>1005613</v>
      </c>
      <c r="U14" s="67">
        <v>165467</v>
      </c>
      <c r="V14" s="67"/>
      <c r="W14" s="67"/>
      <c r="X14" s="67"/>
      <c r="Y14" s="67">
        <v>218</v>
      </c>
      <c r="Z14" s="74">
        <f t="shared" si="1"/>
        <v>4.6129036697247702E-3</v>
      </c>
      <c r="AA14" s="74">
        <f t="shared" si="2"/>
        <v>6.301956880733945E-3</v>
      </c>
      <c r="AB14" s="54">
        <v>626</v>
      </c>
      <c r="AC14" s="90">
        <v>567</v>
      </c>
      <c r="AD14" s="86">
        <v>1545000</v>
      </c>
      <c r="AE14" s="64">
        <v>0</v>
      </c>
      <c r="AF14" s="64">
        <v>0</v>
      </c>
      <c r="AG14" s="64">
        <v>0</v>
      </c>
      <c r="AH14" s="76">
        <f>1-(1911500/1985432)</f>
        <v>3.7237236027222287E-2</v>
      </c>
      <c r="AI14" s="54">
        <v>0</v>
      </c>
      <c r="AJ14" s="78" t="s">
        <v>148</v>
      </c>
      <c r="AK14" s="78" t="s">
        <v>149</v>
      </c>
      <c r="AL14" s="34"/>
    </row>
    <row r="15" spans="1:38" ht="14.5">
      <c r="A15" s="22">
        <v>2016</v>
      </c>
      <c r="B15" s="24" t="s">
        <v>103</v>
      </c>
      <c r="C15" s="24" t="s">
        <v>104</v>
      </c>
      <c r="D15" s="24" t="s">
        <v>105</v>
      </c>
      <c r="E15" s="22">
        <v>11</v>
      </c>
      <c r="F15" s="54" t="s">
        <v>142</v>
      </c>
      <c r="G15" s="85">
        <v>42735</v>
      </c>
      <c r="H15" s="86">
        <v>1662888</v>
      </c>
      <c r="I15" s="59">
        <f t="shared" si="3"/>
        <v>-5.0570201155958339E-3</v>
      </c>
      <c r="J15" s="57">
        <v>27685231.087099999</v>
      </c>
      <c r="K15" s="87">
        <f t="shared" si="0"/>
        <v>16.648885004341842</v>
      </c>
      <c r="L15" s="88">
        <f>63786772.4246784/M15</f>
        <v>6.181535705740368E-2</v>
      </c>
      <c r="M15" s="57">
        <v>1031892000</v>
      </c>
      <c r="N15" s="64">
        <v>1000000</v>
      </c>
      <c r="O15" s="64">
        <v>1000000</v>
      </c>
      <c r="P15" s="65"/>
      <c r="Q15" s="88">
        <f>1000000/J15</f>
        <v>3.6120341450425981E-2</v>
      </c>
      <c r="R15" s="62">
        <v>0</v>
      </c>
      <c r="S15" s="67">
        <v>440528.03</v>
      </c>
      <c r="T15" s="67">
        <v>971384</v>
      </c>
      <c r="U15" s="67">
        <v>205990</v>
      </c>
      <c r="V15" s="67"/>
      <c r="W15" s="67"/>
      <c r="X15" s="67"/>
      <c r="Y15" s="67">
        <v>225</v>
      </c>
      <c r="Z15" s="74">
        <f t="shared" si="1"/>
        <v>4.3172622222222221E-3</v>
      </c>
      <c r="AA15" s="74">
        <f t="shared" si="2"/>
        <v>1.9579023555555556E-3</v>
      </c>
      <c r="AB15" s="54">
        <v>643</v>
      </c>
      <c r="AC15" s="57">
        <v>573</v>
      </c>
      <c r="AD15" s="57">
        <v>1555000</v>
      </c>
      <c r="AE15" s="64">
        <v>0</v>
      </c>
      <c r="AF15" s="64">
        <v>0</v>
      </c>
      <c r="AG15" s="64">
        <v>0</v>
      </c>
      <c r="AH15" s="76">
        <f>1-(2049871/2138232)</f>
        <v>4.1324327762375601E-2</v>
      </c>
      <c r="AI15" s="54">
        <v>0</v>
      </c>
      <c r="AJ15" s="78" t="s">
        <v>152</v>
      </c>
      <c r="AK15" s="78" t="s">
        <v>152</v>
      </c>
      <c r="AL15" s="34"/>
    </row>
    <row r="16" spans="1:38" ht="14.5">
      <c r="A16" s="22">
        <v>2017</v>
      </c>
      <c r="B16" s="24" t="s">
        <v>103</v>
      </c>
      <c r="C16" s="24" t="s">
        <v>104</v>
      </c>
      <c r="D16" s="24" t="s">
        <v>105</v>
      </c>
      <c r="E16" s="22">
        <v>11</v>
      </c>
      <c r="F16" s="54" t="s">
        <v>142</v>
      </c>
      <c r="G16" s="80">
        <v>43100</v>
      </c>
      <c r="H16" s="89">
        <v>1713533</v>
      </c>
      <c r="I16" s="59">
        <f t="shared" si="3"/>
        <v>3.0456049956461229E-2</v>
      </c>
      <c r="J16" s="57">
        <v>29138177.375100002</v>
      </c>
      <c r="K16" s="87">
        <f t="shared" si="0"/>
        <v>17.004736631917797</v>
      </c>
      <c r="L16" s="88">
        <f>J16*2.65/M16</f>
        <v>7.299404140184533E-2</v>
      </c>
      <c r="M16" s="57">
        <v>1057842100</v>
      </c>
      <c r="N16" s="64">
        <v>5000000</v>
      </c>
      <c r="O16" s="64">
        <v>5000000</v>
      </c>
      <c r="P16" s="65"/>
      <c r="Q16" s="88">
        <f>5000000/J16</f>
        <v>0.17159618241162691</v>
      </c>
      <c r="R16" s="62">
        <v>0</v>
      </c>
      <c r="S16" s="67">
        <v>478500</v>
      </c>
      <c r="T16" s="67">
        <v>981643</v>
      </c>
      <c r="U16" s="67">
        <v>227852</v>
      </c>
      <c r="V16" s="67"/>
      <c r="W16" s="67"/>
      <c r="X16" s="67"/>
      <c r="Y16" s="67">
        <v>232</v>
      </c>
      <c r="Z16" s="74">
        <f t="shared" si="1"/>
        <v>4.2312198275862066E-3</v>
      </c>
      <c r="AA16" s="74">
        <f t="shared" si="2"/>
        <v>2.0625000000000001E-3</v>
      </c>
      <c r="AB16" s="112">
        <v>637</v>
      </c>
      <c r="AC16" s="89">
        <v>558</v>
      </c>
      <c r="AD16" s="89">
        <v>1530000</v>
      </c>
      <c r="AE16" s="64">
        <v>0</v>
      </c>
      <c r="AF16" s="64">
        <v>0</v>
      </c>
      <c r="AG16" s="64">
        <v>0</v>
      </c>
      <c r="AH16" s="76">
        <f>(86262+9177+6275)/2140890</f>
        <v>4.7510147648874998E-2</v>
      </c>
      <c r="AI16" s="54">
        <v>0</v>
      </c>
      <c r="AJ16" s="78" t="s">
        <v>157</v>
      </c>
      <c r="AK16" s="78" t="s">
        <v>157</v>
      </c>
      <c r="AL16" s="112" t="s">
        <v>162</v>
      </c>
    </row>
    <row r="17" spans="1:38" ht="14.5">
      <c r="A17" s="40">
        <v>2004</v>
      </c>
      <c r="B17" s="41" t="s">
        <v>131</v>
      </c>
      <c r="C17" s="41" t="s">
        <v>132</v>
      </c>
      <c r="D17" s="41" t="s">
        <v>105</v>
      </c>
      <c r="E17" s="40">
        <v>11</v>
      </c>
      <c r="H17" s="43"/>
      <c r="I17" s="117"/>
      <c r="J17" s="43"/>
      <c r="K17" s="44"/>
      <c r="L17" s="45"/>
      <c r="M17" s="43"/>
      <c r="N17" s="46"/>
      <c r="O17" s="46"/>
      <c r="P17" s="45"/>
      <c r="Q17" s="45"/>
      <c r="AB17" s="43"/>
      <c r="AC17" s="43">
        <f>AVERAGE(AC8:AC16)</f>
        <v>558.33333333333337</v>
      </c>
      <c r="AD17" s="43"/>
      <c r="AE17" s="48"/>
      <c r="AF17" s="48"/>
      <c r="AG17" s="48"/>
      <c r="AH17" s="50"/>
    </row>
    <row r="18" spans="1:38" ht="14.5">
      <c r="A18" s="40">
        <v>2005</v>
      </c>
      <c r="B18" s="41" t="s">
        <v>131</v>
      </c>
      <c r="C18" s="41" t="s">
        <v>132</v>
      </c>
      <c r="D18" s="41" t="s">
        <v>105</v>
      </c>
      <c r="E18" s="40">
        <v>11</v>
      </c>
      <c r="H18" s="43"/>
      <c r="I18" s="117"/>
      <c r="J18" s="43"/>
      <c r="K18" s="44"/>
      <c r="L18" s="45"/>
      <c r="M18" s="43"/>
      <c r="N18" s="46"/>
      <c r="O18" s="46"/>
      <c r="P18" s="45"/>
      <c r="Q18" s="45"/>
      <c r="AB18" s="118"/>
      <c r="AC18" s="43"/>
      <c r="AD18" s="43"/>
      <c r="AE18" s="48"/>
      <c r="AF18" s="48"/>
      <c r="AG18" s="48"/>
      <c r="AH18" s="50"/>
    </row>
    <row r="19" spans="1:38" ht="14.5">
      <c r="A19" s="40">
        <v>2006</v>
      </c>
      <c r="B19" s="41" t="s">
        <v>131</v>
      </c>
      <c r="C19" s="41" t="s">
        <v>132</v>
      </c>
      <c r="D19" s="41" t="s">
        <v>105</v>
      </c>
      <c r="E19" s="40">
        <v>11</v>
      </c>
      <c r="H19" s="43"/>
      <c r="I19" s="117"/>
      <c r="J19" s="43"/>
      <c r="K19" s="44"/>
      <c r="L19" s="45"/>
      <c r="M19" s="43"/>
      <c r="N19" s="46"/>
      <c r="O19" s="46"/>
      <c r="P19" s="45"/>
      <c r="Q19" s="45"/>
      <c r="R19" s="119"/>
      <c r="AB19" s="118"/>
      <c r="AC19" s="43"/>
      <c r="AD19" s="43"/>
      <c r="AE19" s="48"/>
      <c r="AF19" s="48"/>
      <c r="AG19" s="48"/>
      <c r="AH19" s="50"/>
    </row>
    <row r="20" spans="1:38" ht="14.5">
      <c r="A20" s="40">
        <v>2007</v>
      </c>
      <c r="B20" s="41" t="s">
        <v>131</v>
      </c>
      <c r="C20" s="41" t="s">
        <v>132</v>
      </c>
      <c r="D20" s="41" t="s">
        <v>105</v>
      </c>
      <c r="E20" s="40">
        <v>11</v>
      </c>
      <c r="H20" s="43"/>
      <c r="I20" s="117"/>
      <c r="J20" s="43"/>
      <c r="K20" s="44"/>
      <c r="L20" s="45"/>
      <c r="M20" s="43"/>
      <c r="N20" s="46"/>
      <c r="O20" s="46"/>
      <c r="P20" s="45"/>
      <c r="Q20" s="45"/>
      <c r="R20" s="119"/>
      <c r="AB20" s="118"/>
      <c r="AC20" s="43"/>
      <c r="AD20" s="118"/>
      <c r="AE20" s="48"/>
      <c r="AF20" s="48"/>
      <c r="AG20" s="48"/>
      <c r="AH20" s="50"/>
    </row>
    <row r="21" spans="1:38" ht="14.5">
      <c r="A21" s="40">
        <v>2008</v>
      </c>
      <c r="B21" s="41" t="s">
        <v>131</v>
      </c>
      <c r="C21" s="41" t="s">
        <v>132</v>
      </c>
      <c r="D21" s="41" t="s">
        <v>105</v>
      </c>
      <c r="E21" s="40">
        <v>11</v>
      </c>
      <c r="H21" s="43"/>
      <c r="I21" s="117"/>
      <c r="J21" s="43"/>
      <c r="K21" s="44"/>
      <c r="L21" s="45"/>
      <c r="M21" s="43"/>
      <c r="N21" s="46"/>
      <c r="O21" s="46"/>
      <c r="P21" s="45"/>
      <c r="Q21" s="45"/>
      <c r="R21" s="45"/>
      <c r="S21" s="118"/>
      <c r="T21" s="118"/>
      <c r="U21" s="43"/>
      <c r="V21" s="43"/>
      <c r="W21" s="43"/>
      <c r="X21" s="43"/>
      <c r="Y21" s="43"/>
      <c r="Z21" s="43"/>
      <c r="AA21" s="43"/>
      <c r="AB21" s="43"/>
      <c r="AC21" s="43"/>
      <c r="AD21" s="43"/>
      <c r="AE21" s="48"/>
      <c r="AF21" s="48"/>
      <c r="AG21" s="48"/>
      <c r="AH21" s="50"/>
    </row>
    <row r="22" spans="1:38" ht="14.5">
      <c r="A22" s="22">
        <v>2009</v>
      </c>
      <c r="B22" s="24" t="s">
        <v>131</v>
      </c>
      <c r="C22" s="24" t="s">
        <v>132</v>
      </c>
      <c r="D22" s="24" t="s">
        <v>105</v>
      </c>
      <c r="E22" s="22">
        <v>11</v>
      </c>
      <c r="F22" s="54" t="s">
        <v>142</v>
      </c>
      <c r="G22" s="120">
        <v>40178</v>
      </c>
      <c r="H22" s="57">
        <v>7423000</v>
      </c>
      <c r="I22" s="59"/>
      <c r="J22" s="57">
        <v>193347525</v>
      </c>
      <c r="K22" s="87">
        <f t="shared" ref="K22:K30" si="4">J22/H22</f>
        <v>26.047086757375723</v>
      </c>
      <c r="L22" s="88">
        <f>$J$22*'diesel prices'!$L$5/M22</f>
        <v>0.12529244659180458</v>
      </c>
      <c r="M22" s="57">
        <v>3807000000</v>
      </c>
      <c r="N22" s="54">
        <v>175308005</v>
      </c>
      <c r="O22" s="54">
        <v>175308005</v>
      </c>
      <c r="P22" s="57"/>
      <c r="Q22" s="123">
        <v>0.90669898670800153</v>
      </c>
      <c r="R22" s="57">
        <v>196000000</v>
      </c>
      <c r="S22" s="57">
        <v>4896399</v>
      </c>
      <c r="T22" s="84">
        <v>364887</v>
      </c>
      <c r="U22" s="57">
        <v>2296411</v>
      </c>
      <c r="V22" s="57">
        <f t="shared" ref="V22:V30" si="5">U22+T22</f>
        <v>2661298</v>
      </c>
      <c r="W22" s="57"/>
      <c r="X22" s="57"/>
      <c r="Y22" s="57">
        <v>984</v>
      </c>
      <c r="Z22" s="74">
        <f t="shared" ref="Z22:Z30" si="6">T22/(Y22*1000000)</f>
        <v>3.7082012195121953E-4</v>
      </c>
      <c r="AA22" s="74">
        <f t="shared" ref="AA22:AA30" si="7">S22/(Y22*1000000)</f>
        <v>4.9760152439024393E-3</v>
      </c>
      <c r="AB22" s="57">
        <v>466</v>
      </c>
      <c r="AC22" s="57">
        <v>363</v>
      </c>
      <c r="AD22" s="57">
        <v>7800000</v>
      </c>
      <c r="AE22" s="64">
        <v>0</v>
      </c>
      <c r="AF22" s="64">
        <v>0</v>
      </c>
      <c r="AG22" s="64">
        <v>0</v>
      </c>
      <c r="AH22" s="76">
        <f>1-(7135/8136)</f>
        <v>0.12303343166175029</v>
      </c>
      <c r="AI22" s="54">
        <v>1</v>
      </c>
      <c r="AJ22" s="78" t="s">
        <v>172</v>
      </c>
      <c r="AK22" s="20" t="s">
        <v>175</v>
      </c>
      <c r="AL22" s="54" t="s">
        <v>179</v>
      </c>
    </row>
    <row r="23" spans="1:38" ht="14.5">
      <c r="A23" s="22">
        <v>2010</v>
      </c>
      <c r="B23" s="24" t="s">
        <v>131</v>
      </c>
      <c r="C23" s="24" t="s">
        <v>132</v>
      </c>
      <c r="D23" s="24" t="s">
        <v>105</v>
      </c>
      <c r="E23" s="22">
        <v>11</v>
      </c>
      <c r="F23" s="54" t="s">
        <v>142</v>
      </c>
      <c r="G23" s="126">
        <v>40543</v>
      </c>
      <c r="H23" s="57">
        <v>7770000</v>
      </c>
      <c r="I23" s="59">
        <f t="shared" ref="I23:I30" si="8">(H23/H22)-1</f>
        <v>4.6746598410346119E-2</v>
      </c>
      <c r="J23" s="57">
        <v>141467118</v>
      </c>
      <c r="K23" s="87">
        <f t="shared" si="4"/>
        <v>18.206836293436293</v>
      </c>
      <c r="L23" s="88">
        <f>420303087.072/M23</f>
        <v>0.10004834255462985</v>
      </c>
      <c r="M23" s="57">
        <v>4201000000</v>
      </c>
      <c r="N23" s="54">
        <v>198870006.34433001</v>
      </c>
      <c r="O23" s="54">
        <v>198870006.34433001</v>
      </c>
      <c r="P23" s="57"/>
      <c r="Q23" s="123">
        <v>1.4057684156987633</v>
      </c>
      <c r="R23" s="57">
        <v>312000000</v>
      </c>
      <c r="S23" s="57">
        <v>3257918</v>
      </c>
      <c r="T23" s="57">
        <v>357080</v>
      </c>
      <c r="U23" s="57">
        <v>1958788</v>
      </c>
      <c r="V23" s="57">
        <f t="shared" si="5"/>
        <v>2315868</v>
      </c>
      <c r="W23" s="57"/>
      <c r="X23" s="57"/>
      <c r="Y23" s="57">
        <v>999</v>
      </c>
      <c r="Z23" s="74">
        <f t="shared" si="6"/>
        <v>3.5743743743743746E-4</v>
      </c>
      <c r="AA23" s="74">
        <f t="shared" si="7"/>
        <v>3.2611791791791792E-3</v>
      </c>
      <c r="AB23" s="57">
        <v>457</v>
      </c>
      <c r="AC23" s="57">
        <v>341</v>
      </c>
      <c r="AD23" s="57">
        <v>7800000</v>
      </c>
      <c r="AE23" s="64">
        <v>0</v>
      </c>
      <c r="AF23" s="64">
        <v>0</v>
      </c>
      <c r="AG23" s="64">
        <v>0</v>
      </c>
      <c r="AH23" s="76">
        <f>1-(9699/10924)</f>
        <v>0.11213841083852072</v>
      </c>
      <c r="AI23" s="54">
        <v>1</v>
      </c>
      <c r="AJ23" s="78" t="s">
        <v>181</v>
      </c>
      <c r="AK23" s="78" t="s">
        <v>184</v>
      </c>
      <c r="AL23" s="34"/>
    </row>
    <row r="24" spans="1:38" ht="14.5">
      <c r="A24" s="22">
        <v>2011</v>
      </c>
      <c r="B24" s="24" t="s">
        <v>131</v>
      </c>
      <c r="C24" s="24" t="s">
        <v>132</v>
      </c>
      <c r="D24" s="24" t="s">
        <v>105</v>
      </c>
      <c r="E24" s="22">
        <v>11</v>
      </c>
      <c r="F24" s="54" t="s">
        <v>142</v>
      </c>
      <c r="G24" s="120">
        <v>40908</v>
      </c>
      <c r="H24" s="57">
        <v>7680000</v>
      </c>
      <c r="I24" s="59">
        <f t="shared" si="8"/>
        <v>-1.158301158301156E-2</v>
      </c>
      <c r="J24" s="57">
        <v>152020202</v>
      </c>
      <c r="K24" s="87">
        <f t="shared" si="4"/>
        <v>19.794297135416667</v>
      </c>
      <c r="L24" s="88">
        <f>J24*'diesel prices'!D6/M24</f>
        <v>9.2425201975934124E-2</v>
      </c>
      <c r="M24" s="57">
        <v>6316000000</v>
      </c>
      <c r="N24" s="54">
        <v>209244006.67528999</v>
      </c>
      <c r="O24" s="54">
        <v>209244006.67528999</v>
      </c>
      <c r="P24" s="57"/>
      <c r="Q24" s="123">
        <v>1.3764223696748541</v>
      </c>
      <c r="R24" s="57">
        <v>453000000</v>
      </c>
      <c r="S24" s="67">
        <v>2226503</v>
      </c>
      <c r="T24" s="67">
        <v>215320</v>
      </c>
      <c r="U24" s="67">
        <v>2295083</v>
      </c>
      <c r="V24" s="57">
        <f t="shared" si="5"/>
        <v>2510403</v>
      </c>
      <c r="W24" s="67"/>
      <c r="X24" s="67"/>
      <c r="Y24" s="67">
        <v>1000</v>
      </c>
      <c r="Z24" s="74">
        <f t="shared" si="6"/>
        <v>2.1531999999999999E-4</v>
      </c>
      <c r="AA24" s="74">
        <f t="shared" si="7"/>
        <v>2.2265029999999999E-3</v>
      </c>
      <c r="AB24" s="54">
        <v>339</v>
      </c>
      <c r="AC24" s="57">
        <v>460</v>
      </c>
      <c r="AD24" s="57">
        <v>7550000</v>
      </c>
      <c r="AE24" s="64">
        <v>0</v>
      </c>
      <c r="AF24" s="64">
        <v>0</v>
      </c>
      <c r="AG24" s="64">
        <v>0</v>
      </c>
      <c r="AH24" s="76">
        <f>(1141+573+177+158)/14312</f>
        <v>0.14316657350475126</v>
      </c>
      <c r="AI24" s="54">
        <v>1</v>
      </c>
      <c r="AJ24" s="78" t="s">
        <v>193</v>
      </c>
      <c r="AK24" s="78" t="s">
        <v>196</v>
      </c>
      <c r="AL24" s="34"/>
    </row>
    <row r="25" spans="1:38" ht="14.5">
      <c r="A25" s="22">
        <v>2012</v>
      </c>
      <c r="B25" s="24" t="s">
        <v>131</v>
      </c>
      <c r="C25" s="24" t="s">
        <v>132</v>
      </c>
      <c r="D25" s="24" t="s">
        <v>105</v>
      </c>
      <c r="E25" s="22">
        <v>11</v>
      </c>
      <c r="F25" s="54" t="s">
        <v>142</v>
      </c>
      <c r="G25" s="120">
        <v>41274</v>
      </c>
      <c r="H25" s="57">
        <v>7400000</v>
      </c>
      <c r="I25" s="59">
        <f t="shared" si="8"/>
        <v>-3.645833333333337E-2</v>
      </c>
      <c r="J25" s="57">
        <v>183114933</v>
      </c>
      <c r="K25" s="87">
        <f t="shared" si="4"/>
        <v>24.745261216216218</v>
      </c>
      <c r="L25" s="62">
        <f>726600054.144/M25</f>
        <v>9.4930762234648552E-2</v>
      </c>
      <c r="M25" s="57">
        <v>7654000000</v>
      </c>
      <c r="N25" s="54">
        <v>202188006.45019001</v>
      </c>
      <c r="O25" s="54">
        <v>202188006.45019001</v>
      </c>
      <c r="P25" s="57"/>
      <c r="Q25" s="123">
        <v>1.1041590280907894</v>
      </c>
      <c r="R25" s="57">
        <v>620000000</v>
      </c>
      <c r="S25" s="57">
        <v>2623823</v>
      </c>
      <c r="T25" s="57">
        <v>2463844</v>
      </c>
      <c r="U25" s="57">
        <v>897610</v>
      </c>
      <c r="V25" s="57">
        <f t="shared" si="5"/>
        <v>3361454</v>
      </c>
      <c r="W25" s="57"/>
      <c r="X25" s="57"/>
      <c r="Y25" s="57">
        <v>1001</v>
      </c>
      <c r="Z25" s="74">
        <f t="shared" si="6"/>
        <v>2.4613826173826175E-3</v>
      </c>
      <c r="AA25" s="74">
        <f t="shared" si="7"/>
        <v>2.6212017982017981E-3</v>
      </c>
      <c r="AB25" s="57">
        <v>584</v>
      </c>
      <c r="AC25" s="34"/>
      <c r="AD25" s="57">
        <v>7200000</v>
      </c>
      <c r="AE25" s="64">
        <v>0</v>
      </c>
      <c r="AF25" s="64">
        <v>0</v>
      </c>
      <c r="AG25" s="64">
        <v>0</v>
      </c>
      <c r="AH25" s="76">
        <f>1-(12564/14547)</f>
        <v>0.13631676634357603</v>
      </c>
      <c r="AI25" s="54">
        <v>1</v>
      </c>
      <c r="AJ25" s="78" t="s">
        <v>201</v>
      </c>
      <c r="AK25" s="78" t="s">
        <v>202</v>
      </c>
      <c r="AL25" s="34"/>
    </row>
    <row r="26" spans="1:38" ht="14.5">
      <c r="A26" s="22">
        <v>2013</v>
      </c>
      <c r="B26" s="24" t="s">
        <v>131</v>
      </c>
      <c r="C26" s="24" t="s">
        <v>132</v>
      </c>
      <c r="D26" s="24" t="s">
        <v>105</v>
      </c>
      <c r="E26" s="22">
        <v>11</v>
      </c>
      <c r="F26" s="54" t="s">
        <v>142</v>
      </c>
      <c r="G26" s="126">
        <v>41639</v>
      </c>
      <c r="H26" s="57">
        <v>7170000</v>
      </c>
      <c r="I26" s="59">
        <f t="shared" si="8"/>
        <v>-3.1081081081081097E-2</v>
      </c>
      <c r="J26" s="57">
        <v>158667219</v>
      </c>
      <c r="K26" s="87">
        <f t="shared" si="4"/>
        <v>22.129319246861925</v>
      </c>
      <c r="L26" s="62">
        <f>622292832.918/M26</f>
        <v>8.5916448007455473E-2</v>
      </c>
      <c r="M26" s="57">
        <v>7243000000</v>
      </c>
      <c r="N26" s="54">
        <v>321048010.24204999</v>
      </c>
      <c r="O26" s="54">
        <v>321048010.24204999</v>
      </c>
      <c r="P26" s="57"/>
      <c r="Q26" s="123">
        <v>2.0234047855975215</v>
      </c>
      <c r="R26" s="57">
        <v>646000000</v>
      </c>
      <c r="S26" s="57">
        <v>1664641</v>
      </c>
      <c r="T26" s="57">
        <v>3001572</v>
      </c>
      <c r="U26" s="57">
        <v>589012</v>
      </c>
      <c r="V26" s="57">
        <f t="shared" si="5"/>
        <v>3590584</v>
      </c>
      <c r="W26" s="57"/>
      <c r="X26" s="57"/>
      <c r="Y26" s="57">
        <v>1165</v>
      </c>
      <c r="Z26" s="74">
        <f t="shared" si="6"/>
        <v>2.576456652360515E-3</v>
      </c>
      <c r="AA26" s="74">
        <f t="shared" si="7"/>
        <v>1.4288763948497854E-3</v>
      </c>
      <c r="AB26" s="57">
        <v>566</v>
      </c>
      <c r="AC26" s="34"/>
      <c r="AD26" s="57">
        <v>6250000</v>
      </c>
      <c r="AE26" s="64">
        <v>0</v>
      </c>
      <c r="AF26" s="64">
        <v>0</v>
      </c>
      <c r="AG26" s="64">
        <v>0</v>
      </c>
      <c r="AH26" s="76">
        <f>1-(10670/12511)</f>
        <v>0.14715050755335302</v>
      </c>
      <c r="AI26" s="54">
        <v>1</v>
      </c>
      <c r="AJ26" s="78" t="s">
        <v>204</v>
      </c>
      <c r="AK26" s="78" t="s">
        <v>205</v>
      </c>
      <c r="AL26" s="34"/>
    </row>
    <row r="27" spans="1:38" ht="14.5">
      <c r="A27" s="22">
        <v>2014</v>
      </c>
      <c r="B27" s="24" t="s">
        <v>131</v>
      </c>
      <c r="C27" s="24" t="s">
        <v>132</v>
      </c>
      <c r="D27" s="24" t="s">
        <v>105</v>
      </c>
      <c r="E27" s="22">
        <v>11</v>
      </c>
      <c r="F27" s="54" t="s">
        <v>142</v>
      </c>
      <c r="G27" s="120">
        <v>42004</v>
      </c>
      <c r="H27" s="57">
        <v>6249000</v>
      </c>
      <c r="I27" s="59">
        <f t="shared" si="8"/>
        <v>-0.12845188284518827</v>
      </c>
      <c r="J27" s="57">
        <v>210000006</v>
      </c>
      <c r="K27" s="87">
        <f t="shared" si="4"/>
        <v>33.605377820451274</v>
      </c>
      <c r="L27" s="88">
        <f>803250022.95/M27</f>
        <v>0.11760615270131772</v>
      </c>
      <c r="M27" s="57">
        <v>6830000000</v>
      </c>
      <c r="N27" s="54">
        <v>359772011.47741997</v>
      </c>
      <c r="O27" s="54">
        <v>359772011.47741997</v>
      </c>
      <c r="P27" s="57"/>
      <c r="Q27" s="123">
        <v>1.7132000057058092</v>
      </c>
      <c r="R27" s="57">
        <v>668000000</v>
      </c>
      <c r="S27" s="57">
        <v>1505742</v>
      </c>
      <c r="T27" s="57">
        <v>1345081</v>
      </c>
      <c r="U27" s="57">
        <v>891569.20929999999</v>
      </c>
      <c r="V27" s="57">
        <f t="shared" si="5"/>
        <v>2236650.2093000002</v>
      </c>
      <c r="W27" s="57"/>
      <c r="X27" s="57"/>
      <c r="Y27" s="57">
        <v>1165</v>
      </c>
      <c r="Z27" s="74">
        <f t="shared" si="6"/>
        <v>1.1545759656652361E-3</v>
      </c>
      <c r="AA27" s="74">
        <f t="shared" si="7"/>
        <v>1.2924824034334765E-3</v>
      </c>
      <c r="AB27" s="57">
        <v>598</v>
      </c>
      <c r="AC27" s="34"/>
      <c r="AD27" s="57">
        <v>6400000</v>
      </c>
      <c r="AE27" s="64">
        <v>0</v>
      </c>
      <c r="AF27" s="64">
        <v>0</v>
      </c>
      <c r="AG27" s="64">
        <v>0</v>
      </c>
      <c r="AH27" s="76">
        <f>1-(8744/10239)</f>
        <v>0.14601035257349348</v>
      </c>
      <c r="AI27" s="54">
        <v>1</v>
      </c>
      <c r="AJ27" s="78" t="s">
        <v>206</v>
      </c>
      <c r="AK27" s="78" t="s">
        <v>207</v>
      </c>
      <c r="AL27" s="34"/>
    </row>
    <row r="28" spans="1:38" ht="14.5">
      <c r="A28" s="22">
        <v>2015</v>
      </c>
      <c r="B28" s="24" t="s">
        <v>131</v>
      </c>
      <c r="C28" s="24" t="s">
        <v>132</v>
      </c>
      <c r="D28" s="24" t="s">
        <v>105</v>
      </c>
      <c r="E28" s="22">
        <v>11</v>
      </c>
      <c r="F28" s="54" t="s">
        <v>142</v>
      </c>
      <c r="G28" s="120">
        <v>42369</v>
      </c>
      <c r="H28" s="57">
        <v>6117000</v>
      </c>
      <c r="I28" s="59">
        <f t="shared" si="8"/>
        <v>-2.1123379740758508E-2</v>
      </c>
      <c r="J28" s="57">
        <v>212257711</v>
      </c>
      <c r="K28" s="87">
        <f t="shared" si="4"/>
        <v>34.699642144842244</v>
      </c>
      <c r="L28" s="88">
        <f>461481706.645/M28</f>
        <v>6.6813624821919784E-2</v>
      </c>
      <c r="M28" s="57">
        <v>6907000000</v>
      </c>
      <c r="N28" s="54">
        <v>256452008.18131</v>
      </c>
      <c r="O28" s="54">
        <v>256452008.18131</v>
      </c>
      <c r="P28" s="57"/>
      <c r="Q28" s="123">
        <v>1.2082105614589898</v>
      </c>
      <c r="R28" s="57">
        <v>1281000000</v>
      </c>
      <c r="S28" s="57">
        <v>594271</v>
      </c>
      <c r="T28" s="57">
        <v>2346286</v>
      </c>
      <c r="U28" s="57">
        <v>1085774.25</v>
      </c>
      <c r="V28" s="57">
        <f t="shared" si="5"/>
        <v>3432060.25</v>
      </c>
      <c r="W28" s="57"/>
      <c r="X28" s="57"/>
      <c r="Y28" s="57">
        <v>1165</v>
      </c>
      <c r="Z28" s="74">
        <f t="shared" si="6"/>
        <v>2.0139793991416307E-3</v>
      </c>
      <c r="AA28" s="74">
        <f t="shared" si="7"/>
        <v>5.1010386266094423E-4</v>
      </c>
      <c r="AB28" s="57">
        <v>596</v>
      </c>
      <c r="AC28" s="34"/>
      <c r="AD28" s="57">
        <v>5250000</v>
      </c>
      <c r="AE28" s="64">
        <v>0</v>
      </c>
      <c r="AF28" s="64">
        <v>0</v>
      </c>
      <c r="AG28" s="64">
        <v>0</v>
      </c>
      <c r="AH28" s="76">
        <f>1-(7813/9029)</f>
        <v>0.13467715140104108</v>
      </c>
      <c r="AI28" s="54">
        <v>1</v>
      </c>
      <c r="AJ28" s="78" t="s">
        <v>215</v>
      </c>
      <c r="AK28" s="78" t="s">
        <v>217</v>
      </c>
      <c r="AL28" s="34"/>
    </row>
    <row r="29" spans="1:38" ht="14.5">
      <c r="A29" s="22">
        <v>2016</v>
      </c>
      <c r="B29" s="24" t="s">
        <v>131</v>
      </c>
      <c r="C29" s="24" t="s">
        <v>132</v>
      </c>
      <c r="D29" s="24" t="s">
        <v>105</v>
      </c>
      <c r="E29" s="22">
        <v>11</v>
      </c>
      <c r="F29" s="54" t="s">
        <v>142</v>
      </c>
      <c r="G29" s="120">
        <v>42735</v>
      </c>
      <c r="H29" s="57">
        <v>5517000</v>
      </c>
      <c r="I29" s="59">
        <f t="shared" si="8"/>
        <v>-9.8087297694948505E-2</v>
      </c>
      <c r="J29" s="84">
        <v>178748518</v>
      </c>
      <c r="K29" s="87">
        <f t="shared" si="4"/>
        <v>32.399586369403664</v>
      </c>
      <c r="L29" s="88">
        <f>329563544.778/M29</f>
        <v>6.0973828821091584E-2</v>
      </c>
      <c r="M29" s="57">
        <v>5405000000</v>
      </c>
      <c r="N29" s="54">
        <v>143682004.58373001</v>
      </c>
      <c r="O29" s="54">
        <v>143682004.58373001</v>
      </c>
      <c r="P29" s="57"/>
      <c r="Q29" s="123">
        <v>0.80382207467437583</v>
      </c>
      <c r="R29" s="54">
        <v>1248000000</v>
      </c>
      <c r="S29" s="67">
        <v>347265</v>
      </c>
      <c r="T29" s="57"/>
      <c r="U29" s="57">
        <v>808484</v>
      </c>
      <c r="V29" s="57">
        <f t="shared" si="5"/>
        <v>808484</v>
      </c>
      <c r="W29" s="57"/>
      <c r="X29" s="57"/>
      <c r="Y29" s="57">
        <v>1166</v>
      </c>
      <c r="Z29" s="74">
        <f t="shared" si="6"/>
        <v>0</v>
      </c>
      <c r="AA29" s="74">
        <f t="shared" si="7"/>
        <v>2.9782590051457978E-4</v>
      </c>
      <c r="AB29" s="57">
        <v>546</v>
      </c>
      <c r="AC29" s="34"/>
      <c r="AD29" s="57">
        <v>5750000</v>
      </c>
      <c r="AE29" s="57">
        <v>43000</v>
      </c>
      <c r="AF29" s="57">
        <v>43000</v>
      </c>
      <c r="AG29" s="151">
        <f>43000/AD29</f>
        <v>7.4782608695652172E-3</v>
      </c>
      <c r="AH29" s="76">
        <f>1-(7908/8558)</f>
        <v>7.5952325309651791E-2</v>
      </c>
      <c r="AI29" s="54">
        <v>1</v>
      </c>
      <c r="AJ29" s="78" t="s">
        <v>224</v>
      </c>
      <c r="AK29" s="78" t="s">
        <v>230</v>
      </c>
      <c r="AL29" s="34"/>
    </row>
    <row r="30" spans="1:38" ht="14.5">
      <c r="A30" s="22">
        <v>2017</v>
      </c>
      <c r="B30" s="24" t="s">
        <v>131</v>
      </c>
      <c r="C30" s="24" t="s">
        <v>132</v>
      </c>
      <c r="D30" s="24" t="s">
        <v>105</v>
      </c>
      <c r="E30" s="22">
        <v>11</v>
      </c>
      <c r="F30" s="54" t="s">
        <v>142</v>
      </c>
      <c r="G30" s="120">
        <v>43100</v>
      </c>
      <c r="H30" s="57">
        <v>5323000</v>
      </c>
      <c r="I30" s="59">
        <f t="shared" si="8"/>
        <v>-3.5164038426681143E-2</v>
      </c>
      <c r="J30" s="57">
        <v>168000000</v>
      </c>
      <c r="K30" s="87">
        <f t="shared" si="4"/>
        <v>31.561149727597218</v>
      </c>
      <c r="L30" s="88">
        <f>J30*'diesel prices'!J6/M30</f>
        <v>8.4000000000000005E-2</v>
      </c>
      <c r="M30" s="57">
        <v>5300000000</v>
      </c>
      <c r="N30" s="54">
        <v>52248001.666812003</v>
      </c>
      <c r="O30" s="54">
        <v>52248001.666812003</v>
      </c>
      <c r="P30" s="57"/>
      <c r="Q30" s="123">
        <v>0.31100000000000766</v>
      </c>
      <c r="R30" s="57">
        <v>1264000000</v>
      </c>
      <c r="S30" s="57">
        <v>272507</v>
      </c>
      <c r="T30" s="57">
        <v>3071613</v>
      </c>
      <c r="U30" s="57">
        <v>968605</v>
      </c>
      <c r="V30" s="57">
        <f t="shared" si="5"/>
        <v>4040218</v>
      </c>
      <c r="W30" s="57"/>
      <c r="X30" s="57"/>
      <c r="Y30" s="57">
        <v>1167</v>
      </c>
      <c r="Z30" s="74">
        <f t="shared" si="6"/>
        <v>2.6320591259640105E-3</v>
      </c>
      <c r="AA30" s="74">
        <f t="shared" si="7"/>
        <v>2.3351071122536417E-4</v>
      </c>
      <c r="AB30" s="57">
        <v>526</v>
      </c>
      <c r="AC30" s="34"/>
      <c r="AD30" s="57">
        <v>4750000</v>
      </c>
      <c r="AE30" s="57">
        <v>105000</v>
      </c>
      <c r="AF30" s="57">
        <v>105000</v>
      </c>
      <c r="AG30" s="151">
        <f>105000/AD30</f>
        <v>2.2105263157894735E-2</v>
      </c>
      <c r="AH30" s="157">
        <v>8.5000000000000006E-2</v>
      </c>
      <c r="AI30" s="54">
        <v>1</v>
      </c>
      <c r="AJ30" s="78" t="s">
        <v>236</v>
      </c>
      <c r="AK30" s="78" t="s">
        <v>237</v>
      </c>
      <c r="AL30" s="34"/>
    </row>
    <row r="31" spans="1:38" ht="14.5">
      <c r="A31" s="40">
        <v>2004</v>
      </c>
      <c r="B31" s="41" t="s">
        <v>238</v>
      </c>
      <c r="C31" s="41" t="s">
        <v>239</v>
      </c>
      <c r="D31" s="41" t="s">
        <v>105</v>
      </c>
      <c r="E31" s="40">
        <v>11</v>
      </c>
      <c r="H31" s="43"/>
      <c r="I31" s="117"/>
      <c r="J31" s="43"/>
      <c r="K31" s="44"/>
      <c r="L31" s="45"/>
      <c r="M31" s="43"/>
      <c r="N31" s="46"/>
      <c r="O31" s="46"/>
      <c r="P31" s="45"/>
      <c r="Q31" s="45"/>
      <c r="R31" s="45"/>
      <c r="AB31" s="43">
        <f>AVERAGE(AB22:AB30)</f>
        <v>519.77777777777783</v>
      </c>
      <c r="AC31" s="43"/>
      <c r="AD31" s="43"/>
      <c r="AE31" s="48"/>
      <c r="AF31" s="48"/>
      <c r="AG31" s="48"/>
      <c r="AH31" s="50"/>
    </row>
    <row r="32" spans="1:38" ht="14.5">
      <c r="A32" s="40">
        <v>2005</v>
      </c>
      <c r="B32" s="41" t="s">
        <v>238</v>
      </c>
      <c r="C32" s="41" t="s">
        <v>239</v>
      </c>
      <c r="D32" s="41" t="s">
        <v>105</v>
      </c>
      <c r="E32" s="40">
        <v>11</v>
      </c>
      <c r="H32" s="43"/>
      <c r="I32" s="117"/>
      <c r="J32" s="43"/>
      <c r="K32" s="44"/>
      <c r="L32" s="45"/>
      <c r="M32" s="43"/>
      <c r="N32" s="46"/>
      <c r="O32" s="46"/>
      <c r="P32" s="45"/>
      <c r="Q32" s="45"/>
      <c r="R32" s="45"/>
      <c r="AC32" s="43"/>
      <c r="AD32" s="43"/>
      <c r="AE32" s="48"/>
      <c r="AF32" s="48"/>
      <c r="AG32" s="48"/>
      <c r="AH32" s="50"/>
    </row>
    <row r="33" spans="1:34" ht="14.5">
      <c r="A33" s="40">
        <v>2006</v>
      </c>
      <c r="B33" s="41" t="s">
        <v>238</v>
      </c>
      <c r="C33" s="41" t="s">
        <v>239</v>
      </c>
      <c r="D33" s="41" t="s">
        <v>105</v>
      </c>
      <c r="E33" s="40">
        <v>11</v>
      </c>
      <c r="H33" s="43"/>
      <c r="I33" s="117"/>
      <c r="J33" s="43"/>
      <c r="K33" s="44"/>
      <c r="L33" s="45"/>
      <c r="M33" s="43"/>
      <c r="N33" s="46"/>
      <c r="O33" s="46"/>
      <c r="P33" s="45"/>
      <c r="Q33" s="45"/>
      <c r="R33" s="45"/>
      <c r="AC33" s="43"/>
      <c r="AD33" s="43"/>
      <c r="AE33" s="48"/>
      <c r="AF33" s="48"/>
      <c r="AG33" s="48"/>
      <c r="AH33" s="50"/>
    </row>
    <row r="34" spans="1:34" ht="14.5">
      <c r="A34" s="40">
        <v>2007</v>
      </c>
      <c r="B34" s="41" t="s">
        <v>238</v>
      </c>
      <c r="C34" s="41" t="s">
        <v>239</v>
      </c>
      <c r="D34" s="41" t="s">
        <v>105</v>
      </c>
      <c r="E34" s="40">
        <v>11</v>
      </c>
      <c r="H34" s="43"/>
      <c r="I34" s="117"/>
      <c r="J34" s="43"/>
      <c r="K34" s="44"/>
      <c r="L34" s="45"/>
      <c r="M34" s="43"/>
      <c r="N34" s="46"/>
      <c r="O34" s="46"/>
      <c r="P34" s="45"/>
      <c r="Q34" s="45"/>
      <c r="R34" s="45"/>
      <c r="AC34" s="43"/>
      <c r="AD34" s="43"/>
      <c r="AE34" s="48"/>
      <c r="AF34" s="48"/>
      <c r="AG34" s="48"/>
      <c r="AH34" s="50"/>
    </row>
    <row r="35" spans="1:34" ht="14.5">
      <c r="A35" s="40">
        <v>2008</v>
      </c>
      <c r="B35" s="41" t="s">
        <v>238</v>
      </c>
      <c r="C35" s="41" t="s">
        <v>239</v>
      </c>
      <c r="D35" s="41" t="s">
        <v>105</v>
      </c>
      <c r="E35" s="40">
        <v>11</v>
      </c>
      <c r="H35" s="43"/>
      <c r="I35" s="117"/>
      <c r="J35" s="43"/>
      <c r="K35" s="44"/>
      <c r="L35" s="45"/>
      <c r="M35" s="43"/>
      <c r="N35" s="46"/>
      <c r="O35" s="46"/>
      <c r="P35" s="45"/>
      <c r="Q35" s="45"/>
      <c r="R35" s="45"/>
      <c r="AC35" s="43"/>
      <c r="AD35" s="43"/>
      <c r="AE35" s="48"/>
      <c r="AF35" s="48"/>
      <c r="AG35" s="48"/>
      <c r="AH35" s="50"/>
    </row>
    <row r="36" spans="1:34" ht="14.5">
      <c r="A36" s="40">
        <v>2009</v>
      </c>
      <c r="B36" s="41" t="s">
        <v>238</v>
      </c>
      <c r="C36" s="41" t="s">
        <v>239</v>
      </c>
      <c r="D36" s="41" t="s">
        <v>105</v>
      </c>
      <c r="E36" s="40">
        <v>11</v>
      </c>
      <c r="H36" s="43"/>
      <c r="I36" s="117"/>
      <c r="J36" s="43"/>
      <c r="K36" s="44"/>
      <c r="L36" s="45"/>
      <c r="M36" s="43"/>
      <c r="N36" s="46"/>
      <c r="O36" s="46"/>
      <c r="P36" s="45"/>
      <c r="Q36" s="45"/>
      <c r="R36" s="45"/>
      <c r="S36" s="43"/>
      <c r="T36" s="43"/>
      <c r="U36" s="43"/>
      <c r="V36" s="43"/>
      <c r="W36" s="43"/>
      <c r="X36" s="43"/>
      <c r="Y36" s="43"/>
      <c r="Z36" s="43"/>
      <c r="AA36" s="43"/>
      <c r="AB36" s="43"/>
      <c r="AC36" s="43"/>
      <c r="AD36" s="43"/>
      <c r="AE36" s="48"/>
      <c r="AF36" s="48"/>
      <c r="AG36" s="48"/>
      <c r="AH36" s="50"/>
    </row>
    <row r="37" spans="1:34" ht="14.5">
      <c r="A37" s="40">
        <v>2010</v>
      </c>
      <c r="B37" s="41" t="s">
        <v>238</v>
      </c>
      <c r="C37" s="41" t="s">
        <v>239</v>
      </c>
      <c r="D37" s="41" t="s">
        <v>105</v>
      </c>
      <c r="E37" s="40">
        <v>11</v>
      </c>
      <c r="H37" s="43"/>
      <c r="I37" s="117"/>
      <c r="J37" s="43"/>
      <c r="K37" s="44"/>
      <c r="L37" s="45"/>
      <c r="M37" s="43"/>
      <c r="N37" s="46"/>
      <c r="O37" s="46"/>
      <c r="P37" s="45"/>
      <c r="Q37" s="45"/>
      <c r="R37" s="45"/>
      <c r="S37" s="43"/>
      <c r="T37" s="43"/>
      <c r="U37" s="43"/>
      <c r="V37" s="43"/>
      <c r="W37" s="43"/>
      <c r="X37" s="43"/>
      <c r="Y37" s="43"/>
      <c r="Z37" s="43"/>
      <c r="AA37" s="43"/>
      <c r="AB37" s="43"/>
      <c r="AC37" s="43"/>
      <c r="AD37" s="43"/>
      <c r="AE37" s="48"/>
      <c r="AF37" s="48"/>
      <c r="AG37" s="48"/>
      <c r="AH37" s="50"/>
    </row>
    <row r="38" spans="1:34" ht="14.5">
      <c r="A38" s="40">
        <v>2011</v>
      </c>
      <c r="B38" s="41" t="s">
        <v>238</v>
      </c>
      <c r="C38" s="41" t="s">
        <v>239</v>
      </c>
      <c r="D38" s="41" t="s">
        <v>105</v>
      </c>
      <c r="E38" s="40">
        <v>11</v>
      </c>
      <c r="H38" s="43"/>
      <c r="I38" s="117"/>
      <c r="J38" s="43"/>
      <c r="K38" s="44"/>
      <c r="L38" s="45"/>
      <c r="M38" s="43"/>
      <c r="N38" s="46"/>
      <c r="O38" s="46"/>
      <c r="P38" s="45"/>
      <c r="Q38" s="45"/>
      <c r="R38" s="45"/>
      <c r="S38" s="43"/>
      <c r="T38" s="43"/>
      <c r="U38" s="43"/>
      <c r="V38" s="43"/>
      <c r="W38" s="43"/>
      <c r="X38" s="43"/>
      <c r="Y38" s="43"/>
      <c r="Z38" s="43"/>
      <c r="AA38" s="43"/>
      <c r="AB38" s="43"/>
      <c r="AC38" s="43"/>
      <c r="AD38" s="43"/>
      <c r="AE38" s="48"/>
      <c r="AF38" s="48"/>
      <c r="AG38" s="48"/>
      <c r="AH38" s="50"/>
    </row>
    <row r="39" spans="1:34" ht="14.5">
      <c r="A39" s="40">
        <v>2012</v>
      </c>
      <c r="B39" s="41" t="s">
        <v>238</v>
      </c>
      <c r="C39" s="41" t="s">
        <v>239</v>
      </c>
      <c r="D39" s="41" t="s">
        <v>105</v>
      </c>
      <c r="E39" s="40">
        <v>11</v>
      </c>
      <c r="H39" s="43"/>
      <c r="I39" s="117"/>
      <c r="J39" s="43"/>
      <c r="K39" s="44"/>
      <c r="L39" s="45"/>
      <c r="M39" s="43"/>
      <c r="N39" s="46"/>
      <c r="O39" s="46"/>
      <c r="P39" s="45"/>
      <c r="Q39" s="45"/>
      <c r="R39" s="45"/>
      <c r="S39" s="43"/>
      <c r="T39" s="43"/>
      <c r="U39" s="43"/>
      <c r="V39" s="43"/>
      <c r="W39" s="43"/>
      <c r="X39" s="43"/>
      <c r="Y39" s="43"/>
      <c r="Z39" s="43"/>
      <c r="AA39" s="43"/>
      <c r="AB39" s="43"/>
      <c r="AC39" s="43"/>
      <c r="AD39" s="43"/>
      <c r="AE39" s="48"/>
      <c r="AF39" s="48"/>
      <c r="AG39" s="48"/>
      <c r="AH39" s="50"/>
    </row>
    <row r="40" spans="1:34" ht="14.5">
      <c r="A40" s="40">
        <v>2013</v>
      </c>
      <c r="B40" s="41" t="s">
        <v>238</v>
      </c>
      <c r="C40" s="41" t="s">
        <v>239</v>
      </c>
      <c r="D40" s="41" t="s">
        <v>105</v>
      </c>
      <c r="E40" s="40">
        <v>11</v>
      </c>
      <c r="H40" s="43"/>
      <c r="I40" s="117"/>
      <c r="J40" s="43"/>
      <c r="K40" s="44"/>
      <c r="L40" s="45"/>
      <c r="M40" s="43"/>
      <c r="N40" s="46"/>
      <c r="O40" s="46"/>
      <c r="P40" s="45"/>
      <c r="Q40" s="45"/>
      <c r="R40" s="45"/>
      <c r="S40" s="43"/>
      <c r="T40" s="43"/>
      <c r="U40" s="43"/>
      <c r="V40" s="43"/>
      <c r="W40" s="43"/>
      <c r="X40" s="43"/>
      <c r="Y40" s="43"/>
      <c r="Z40" s="43"/>
      <c r="AA40" s="43"/>
      <c r="AB40" s="43"/>
      <c r="AC40" s="43"/>
      <c r="AD40" s="43"/>
      <c r="AE40" s="48"/>
      <c r="AF40" s="48"/>
      <c r="AG40" s="48"/>
      <c r="AH40" s="50"/>
    </row>
    <row r="41" spans="1:34" ht="14.5">
      <c r="A41" s="40">
        <v>2014</v>
      </c>
      <c r="B41" s="41" t="s">
        <v>238</v>
      </c>
      <c r="C41" s="41" t="s">
        <v>239</v>
      </c>
      <c r="D41" s="41" t="s">
        <v>105</v>
      </c>
      <c r="E41" s="40">
        <v>11</v>
      </c>
      <c r="H41" s="43"/>
      <c r="I41" s="117"/>
      <c r="J41" s="43"/>
      <c r="K41" s="44"/>
      <c r="L41" s="45"/>
      <c r="M41" s="43"/>
      <c r="N41" s="46"/>
      <c r="O41" s="46"/>
      <c r="P41" s="45"/>
      <c r="Q41" s="45"/>
      <c r="R41" s="45"/>
      <c r="S41" s="43"/>
      <c r="T41" s="43"/>
      <c r="U41" s="43"/>
      <c r="V41" s="43"/>
      <c r="W41" s="43"/>
      <c r="X41" s="43"/>
      <c r="Y41" s="43"/>
      <c r="Z41" s="43"/>
      <c r="AA41" s="43"/>
      <c r="AB41" s="43"/>
      <c r="AC41" s="43"/>
      <c r="AD41" s="43"/>
      <c r="AE41" s="48"/>
      <c r="AF41" s="48"/>
      <c r="AG41" s="48"/>
      <c r="AH41" s="50"/>
    </row>
    <row r="42" spans="1:34" ht="14.5">
      <c r="A42" s="40">
        <v>2015</v>
      </c>
      <c r="B42" s="41" t="s">
        <v>238</v>
      </c>
      <c r="C42" s="41" t="s">
        <v>239</v>
      </c>
      <c r="D42" s="41" t="s">
        <v>105</v>
      </c>
      <c r="E42" s="40">
        <v>11</v>
      </c>
      <c r="H42" s="43"/>
      <c r="I42" s="117"/>
      <c r="J42" s="43"/>
      <c r="K42" s="44"/>
      <c r="L42" s="45"/>
      <c r="M42" s="43"/>
      <c r="N42" s="46"/>
      <c r="O42" s="46"/>
      <c r="P42" s="45"/>
      <c r="Q42" s="45"/>
      <c r="R42" s="45"/>
      <c r="S42" s="43"/>
      <c r="T42" s="43"/>
      <c r="U42" s="43"/>
      <c r="V42" s="43"/>
      <c r="W42" s="43"/>
      <c r="X42" s="43"/>
      <c r="Y42" s="43"/>
      <c r="Z42" s="43"/>
      <c r="AA42" s="43"/>
      <c r="AB42" s="43"/>
      <c r="AC42" s="43"/>
      <c r="AD42" s="43"/>
      <c r="AE42" s="48"/>
      <c r="AF42" s="48"/>
      <c r="AG42" s="48"/>
      <c r="AH42" s="50"/>
    </row>
    <row r="43" spans="1:34" ht="14.5">
      <c r="A43" s="40">
        <v>2016</v>
      </c>
      <c r="B43" s="41" t="s">
        <v>238</v>
      </c>
      <c r="C43" s="41" t="s">
        <v>239</v>
      </c>
      <c r="D43" s="41" t="s">
        <v>105</v>
      </c>
      <c r="E43" s="40">
        <v>11</v>
      </c>
      <c r="H43" s="43"/>
      <c r="I43" s="117"/>
      <c r="J43" s="43"/>
      <c r="K43" s="44"/>
      <c r="L43" s="45"/>
      <c r="M43" s="43"/>
      <c r="N43" s="46"/>
      <c r="O43" s="46"/>
      <c r="P43" s="45"/>
      <c r="Q43" s="45"/>
      <c r="R43" s="45"/>
      <c r="S43" s="43"/>
      <c r="T43" s="43"/>
      <c r="U43" s="43"/>
      <c r="V43" s="43"/>
      <c r="W43" s="43"/>
      <c r="X43" s="43"/>
      <c r="Y43" s="43"/>
      <c r="Z43" s="43"/>
      <c r="AA43" s="43"/>
      <c r="AB43" s="43"/>
      <c r="AC43" s="43"/>
      <c r="AD43" s="43"/>
      <c r="AE43" s="48"/>
      <c r="AF43" s="48"/>
      <c r="AG43" s="48"/>
      <c r="AH43" s="50"/>
    </row>
    <row r="44" spans="1:34" ht="14.5">
      <c r="A44" s="40">
        <v>2017</v>
      </c>
      <c r="B44" s="41" t="s">
        <v>238</v>
      </c>
      <c r="C44" s="41" t="s">
        <v>239</v>
      </c>
      <c r="D44" s="41" t="s">
        <v>105</v>
      </c>
      <c r="E44" s="40">
        <v>11</v>
      </c>
      <c r="H44" s="43"/>
      <c r="I44" s="117"/>
      <c r="J44" s="43"/>
      <c r="K44" s="44"/>
      <c r="L44" s="45"/>
      <c r="M44" s="43"/>
      <c r="N44" s="46"/>
      <c r="O44" s="46"/>
      <c r="P44" s="45"/>
      <c r="Q44" s="45"/>
      <c r="R44" s="45"/>
      <c r="S44" s="43"/>
      <c r="T44" s="43"/>
      <c r="U44" s="43"/>
      <c r="V44" s="43"/>
      <c r="W44" s="43"/>
      <c r="X44" s="43"/>
      <c r="Y44" s="43"/>
      <c r="Z44" s="43"/>
      <c r="AA44" s="43"/>
      <c r="AB44" s="43"/>
      <c r="AC44" s="43"/>
      <c r="AD44" s="43"/>
      <c r="AE44" s="48"/>
      <c r="AF44" s="48"/>
      <c r="AG44" s="48"/>
      <c r="AH44" s="50"/>
    </row>
    <row r="45" spans="1:34" ht="14.5">
      <c r="A45" s="40">
        <v>2004</v>
      </c>
      <c r="B45" s="41" t="s">
        <v>150</v>
      </c>
      <c r="C45" s="41" t="s">
        <v>151</v>
      </c>
      <c r="D45" s="41" t="s">
        <v>105</v>
      </c>
      <c r="E45" s="40">
        <v>11</v>
      </c>
      <c r="H45" s="43"/>
      <c r="I45" s="117"/>
      <c r="J45" s="43"/>
      <c r="K45" s="44"/>
      <c r="L45" s="45"/>
      <c r="M45" s="43"/>
      <c r="N45" s="46"/>
      <c r="O45" s="46"/>
      <c r="P45" s="45"/>
      <c r="Q45" s="45"/>
      <c r="R45" s="45"/>
      <c r="S45" s="43"/>
      <c r="T45" s="43"/>
      <c r="U45" s="43"/>
      <c r="V45" s="43"/>
      <c r="W45" s="43"/>
      <c r="X45" s="43"/>
      <c r="Y45" s="43"/>
      <c r="Z45" s="43"/>
      <c r="AA45" s="43"/>
      <c r="AB45" s="43"/>
      <c r="AC45" s="43"/>
      <c r="AD45" s="43"/>
      <c r="AE45" s="48"/>
      <c r="AF45" s="48"/>
      <c r="AG45" s="48"/>
      <c r="AH45" s="50"/>
    </row>
    <row r="46" spans="1:34" ht="14.5">
      <c r="A46" s="40">
        <v>2005</v>
      </c>
      <c r="B46" s="41" t="s">
        <v>150</v>
      </c>
      <c r="C46" s="41" t="s">
        <v>151</v>
      </c>
      <c r="D46" s="41" t="s">
        <v>105</v>
      </c>
      <c r="E46" s="40">
        <v>11</v>
      </c>
      <c r="H46" s="43"/>
      <c r="I46" s="117"/>
      <c r="J46" s="43"/>
      <c r="K46" s="44"/>
      <c r="L46" s="45"/>
      <c r="M46" s="43"/>
      <c r="N46" s="46"/>
      <c r="O46" s="46"/>
      <c r="P46" s="45"/>
      <c r="Q46" s="45"/>
      <c r="R46" s="45"/>
      <c r="S46" s="43"/>
      <c r="T46" s="43"/>
      <c r="U46" s="43"/>
      <c r="V46" s="43"/>
      <c r="W46" s="43"/>
      <c r="X46" s="43"/>
      <c r="Y46" s="43"/>
      <c r="Z46" s="43"/>
      <c r="AA46" s="43"/>
      <c r="AB46" s="43"/>
      <c r="AC46" s="43"/>
      <c r="AD46" s="43"/>
      <c r="AE46" s="48"/>
      <c r="AF46" s="48"/>
      <c r="AG46" s="48"/>
      <c r="AH46" s="50"/>
    </row>
    <row r="47" spans="1:34" ht="14.5">
      <c r="A47" s="40">
        <v>2006</v>
      </c>
      <c r="B47" s="41" t="s">
        <v>150</v>
      </c>
      <c r="C47" s="41" t="s">
        <v>151</v>
      </c>
      <c r="D47" s="41" t="s">
        <v>105</v>
      </c>
      <c r="E47" s="40">
        <v>11</v>
      </c>
      <c r="H47" s="43"/>
      <c r="I47" s="117"/>
      <c r="J47" s="43"/>
      <c r="K47" s="44"/>
      <c r="L47" s="45"/>
      <c r="M47" s="43"/>
      <c r="N47" s="46"/>
      <c r="O47" s="46"/>
      <c r="P47" s="45"/>
      <c r="Q47" s="45"/>
      <c r="R47" s="45"/>
      <c r="S47" s="43"/>
      <c r="T47" s="43"/>
      <c r="U47" s="43"/>
      <c r="V47" s="43"/>
      <c r="W47" s="43"/>
      <c r="X47" s="43"/>
      <c r="Y47" s="43"/>
      <c r="Z47" s="43"/>
      <c r="AA47" s="43"/>
      <c r="AB47" s="43"/>
      <c r="AC47" s="43"/>
      <c r="AD47" s="43"/>
      <c r="AE47" s="48"/>
      <c r="AF47" s="48"/>
      <c r="AG47" s="48"/>
      <c r="AH47" s="50"/>
    </row>
    <row r="48" spans="1:34" ht="14.5">
      <c r="A48" s="40">
        <v>2007</v>
      </c>
      <c r="B48" s="41" t="s">
        <v>150</v>
      </c>
      <c r="C48" s="41" t="s">
        <v>151</v>
      </c>
      <c r="D48" s="41" t="s">
        <v>105</v>
      </c>
      <c r="E48" s="40">
        <v>11</v>
      </c>
      <c r="H48" s="43"/>
      <c r="I48" s="117"/>
      <c r="J48" s="43"/>
      <c r="K48" s="44"/>
      <c r="L48" s="45"/>
      <c r="M48" s="43"/>
      <c r="N48" s="46"/>
      <c r="O48" s="46"/>
      <c r="P48" s="45"/>
      <c r="Q48" s="45"/>
      <c r="R48" s="45"/>
      <c r="S48" s="43"/>
      <c r="T48" s="43"/>
      <c r="U48" s="43"/>
      <c r="V48" s="43"/>
      <c r="W48" s="43"/>
      <c r="X48" s="43"/>
      <c r="Y48" s="43"/>
      <c r="Z48" s="43"/>
      <c r="AA48" s="43"/>
      <c r="AB48" s="43"/>
      <c r="AC48" s="43"/>
      <c r="AD48" s="43"/>
      <c r="AE48" s="48"/>
      <c r="AF48" s="48"/>
      <c r="AG48" s="48"/>
      <c r="AH48" s="50"/>
    </row>
    <row r="49" spans="1:38" ht="14.5">
      <c r="A49" s="40">
        <v>2008</v>
      </c>
      <c r="B49" s="41" t="s">
        <v>150</v>
      </c>
      <c r="C49" s="41" t="s">
        <v>151</v>
      </c>
      <c r="D49" s="41" t="s">
        <v>105</v>
      </c>
      <c r="E49" s="40">
        <v>11</v>
      </c>
      <c r="H49" s="43"/>
      <c r="I49" s="117"/>
      <c r="J49" s="43"/>
      <c r="K49" s="44"/>
      <c r="L49" s="45"/>
      <c r="M49" s="43"/>
      <c r="N49" s="46"/>
      <c r="O49" s="46"/>
      <c r="P49" s="45"/>
      <c r="Q49" s="45"/>
      <c r="R49" s="45"/>
      <c r="S49" s="43"/>
      <c r="T49" s="43"/>
      <c r="U49" s="43"/>
      <c r="V49" s="43"/>
      <c r="W49" s="43"/>
      <c r="X49" s="43"/>
      <c r="Y49" s="43"/>
      <c r="Z49" s="43"/>
      <c r="AA49" s="43"/>
      <c r="AB49" s="43"/>
      <c r="AC49" s="43"/>
      <c r="AD49" s="43"/>
      <c r="AE49" s="48"/>
      <c r="AF49" s="48"/>
      <c r="AG49" s="48"/>
      <c r="AH49" s="50"/>
    </row>
    <row r="50" spans="1:38" ht="14.5">
      <c r="A50" s="22">
        <v>2009</v>
      </c>
      <c r="B50" s="24" t="s">
        <v>150</v>
      </c>
      <c r="C50" s="24" t="s">
        <v>151</v>
      </c>
      <c r="D50" s="24" t="s">
        <v>105</v>
      </c>
      <c r="E50" s="22">
        <v>11</v>
      </c>
      <c r="F50" s="54" t="s">
        <v>242</v>
      </c>
      <c r="G50" s="160">
        <v>40178</v>
      </c>
      <c r="H50" s="161">
        <v>5200000</v>
      </c>
      <c r="I50" s="59"/>
      <c r="J50" s="84">
        <v>179210506</v>
      </c>
      <c r="K50" s="87">
        <f>J50/H50*(1-AH50)</f>
        <v>28.563826968402136</v>
      </c>
      <c r="L50" s="88">
        <f>441970241.809/M50</f>
        <v>0.14495580249557233</v>
      </c>
      <c r="M50" s="162">
        <v>3049000000</v>
      </c>
      <c r="N50" s="163">
        <v>29000000</v>
      </c>
      <c r="O50" s="163">
        <v>29000000</v>
      </c>
      <c r="P50" s="84"/>
      <c r="Q50" s="88">
        <v>0.16182087003314416</v>
      </c>
      <c r="R50" s="62">
        <v>0</v>
      </c>
      <c r="S50" s="67">
        <v>1041618</v>
      </c>
      <c r="T50" s="67">
        <v>253002</v>
      </c>
      <c r="U50" s="67">
        <v>138497</v>
      </c>
      <c r="V50" s="164">
        <v>1100766</v>
      </c>
      <c r="W50" s="54" t="s">
        <v>244</v>
      </c>
      <c r="X50" s="54"/>
      <c r="Y50" s="54">
        <v>491</v>
      </c>
      <c r="Z50" s="74">
        <f t="shared" ref="Z50:Z58" si="9">T50/(1000000*Y50)</f>
        <v>5.1527902240325861E-4</v>
      </c>
      <c r="AA50" s="74">
        <f t="shared" ref="AA50:AA58" si="10">S50/(Y50*1000000)</f>
        <v>2.1214215885947047E-3</v>
      </c>
      <c r="AB50" s="34"/>
      <c r="AC50" s="57">
        <v>417</v>
      </c>
      <c r="AD50" s="57">
        <v>6550000</v>
      </c>
      <c r="AE50" s="64">
        <v>0</v>
      </c>
      <c r="AF50" s="64">
        <v>0</v>
      </c>
      <c r="AG50" s="64">
        <v>0</v>
      </c>
      <c r="AH50" s="76">
        <v>0.17118754055807917</v>
      </c>
      <c r="AI50" s="54">
        <v>0</v>
      </c>
      <c r="AJ50" s="34"/>
      <c r="AK50" s="78" t="s">
        <v>246</v>
      </c>
      <c r="AL50" s="34"/>
    </row>
    <row r="51" spans="1:38" ht="14.5">
      <c r="A51" s="22">
        <v>2010</v>
      </c>
      <c r="B51" s="24" t="s">
        <v>150</v>
      </c>
      <c r="C51" s="24" t="s">
        <v>151</v>
      </c>
      <c r="D51" s="24" t="s">
        <v>105</v>
      </c>
      <c r="E51" s="22">
        <v>11</v>
      </c>
      <c r="F51" s="54" t="s">
        <v>242</v>
      </c>
      <c r="G51" s="160">
        <v>40543</v>
      </c>
      <c r="H51" s="169">
        <v>5400000</v>
      </c>
      <c r="I51" s="59">
        <f t="shared" ref="I51:I58" si="11">H51/H50-1</f>
        <v>3.8461538461538547E-2</v>
      </c>
      <c r="J51" s="84">
        <v>180787903</v>
      </c>
      <c r="K51" s="87">
        <f t="shared" ref="K51:K58" si="12">J51/H51</f>
        <v>33.479241296296294</v>
      </c>
      <c r="L51" s="88">
        <f>519889240.34/M51</f>
        <v>0.14922194039609643</v>
      </c>
      <c r="M51" s="172">
        <v>3484000000</v>
      </c>
      <c r="N51" s="163">
        <v>28000000</v>
      </c>
      <c r="O51" s="163">
        <v>28000000</v>
      </c>
      <c r="P51" s="84"/>
      <c r="Q51" s="88">
        <v>0.15487761921769733</v>
      </c>
      <c r="R51" s="62">
        <v>0</v>
      </c>
      <c r="S51" s="57">
        <v>1241004</v>
      </c>
      <c r="T51" s="57">
        <v>359022</v>
      </c>
      <c r="U51" s="57">
        <v>130824</v>
      </c>
      <c r="V51" s="164">
        <v>1482561</v>
      </c>
      <c r="W51" s="57"/>
      <c r="X51" s="57"/>
      <c r="Y51" s="57">
        <v>493</v>
      </c>
      <c r="Z51" s="74">
        <f t="shared" si="9"/>
        <v>7.2823935091277886E-4</v>
      </c>
      <c r="AA51" s="74">
        <f t="shared" si="10"/>
        <v>2.5172494929006084E-3</v>
      </c>
      <c r="AB51" s="57">
        <v>493</v>
      </c>
      <c r="AC51" s="57">
        <v>485</v>
      </c>
      <c r="AD51" s="57">
        <v>5200009</v>
      </c>
      <c r="AE51" s="64">
        <v>0</v>
      </c>
      <c r="AF51" s="64">
        <v>0</v>
      </c>
      <c r="AG51" s="64">
        <v>0</v>
      </c>
      <c r="AH51" s="157">
        <v>0.19</v>
      </c>
      <c r="AI51" s="54">
        <v>0</v>
      </c>
      <c r="AJ51" s="34"/>
      <c r="AK51" s="78" t="s">
        <v>257</v>
      </c>
      <c r="AL51" s="34"/>
    </row>
    <row r="52" spans="1:38" ht="14.5">
      <c r="A52" s="22">
        <v>2011</v>
      </c>
      <c r="B52" s="24" t="s">
        <v>150</v>
      </c>
      <c r="C52" s="24" t="s">
        <v>151</v>
      </c>
      <c r="D52" s="24" t="s">
        <v>105</v>
      </c>
      <c r="E52" s="22">
        <v>11</v>
      </c>
      <c r="F52" s="54" t="s">
        <v>242</v>
      </c>
      <c r="G52" s="160">
        <v>40908</v>
      </c>
      <c r="H52" s="57">
        <v>5200000</v>
      </c>
      <c r="I52" s="59">
        <f t="shared" si="11"/>
        <v>-3.703703703703709E-2</v>
      </c>
      <c r="J52" s="84">
        <v>197509169</v>
      </c>
      <c r="K52" s="87">
        <f t="shared" si="12"/>
        <v>37.982532499999998</v>
      </c>
      <c r="L52" s="88">
        <f>733798957.99/M52</f>
        <v>0.1886372642647815</v>
      </c>
      <c r="M52" s="57">
        <v>3890000000</v>
      </c>
      <c r="N52" s="163">
        <v>39000000</v>
      </c>
      <c r="O52" s="163">
        <v>39000000</v>
      </c>
      <c r="P52" s="84"/>
      <c r="Q52" s="88">
        <v>0.1974591873251211</v>
      </c>
      <c r="R52" s="62">
        <v>0</v>
      </c>
      <c r="S52" s="57">
        <v>1431044</v>
      </c>
      <c r="T52" s="57">
        <v>526608</v>
      </c>
      <c r="U52" s="57">
        <v>152842</v>
      </c>
      <c r="V52" s="164">
        <v>1978339</v>
      </c>
      <c r="W52" s="57"/>
      <c r="X52" s="57"/>
      <c r="Y52" s="57">
        <v>495</v>
      </c>
      <c r="Z52" s="74">
        <f t="shared" si="9"/>
        <v>1.0638545454545454E-3</v>
      </c>
      <c r="AA52" s="74">
        <f t="shared" si="10"/>
        <v>2.8909979797979799E-3</v>
      </c>
      <c r="AB52" s="57">
        <v>600</v>
      </c>
      <c r="AC52" s="57">
        <v>591</v>
      </c>
      <c r="AD52" s="57">
        <v>5100000</v>
      </c>
      <c r="AE52" s="64">
        <v>0</v>
      </c>
      <c r="AF52" s="64">
        <v>0</v>
      </c>
      <c r="AG52" s="64">
        <v>0</v>
      </c>
      <c r="AH52" s="157">
        <v>0.12</v>
      </c>
      <c r="AI52" s="54">
        <v>0</v>
      </c>
      <c r="AJ52" s="34"/>
      <c r="AK52" s="78" t="s">
        <v>260</v>
      </c>
      <c r="AL52" s="34"/>
    </row>
    <row r="53" spans="1:38" ht="14.5">
      <c r="A53" s="22">
        <v>2012</v>
      </c>
      <c r="B53" s="24" t="s">
        <v>150</v>
      </c>
      <c r="C53" s="24" t="s">
        <v>151</v>
      </c>
      <c r="D53" s="24" t="s">
        <v>105</v>
      </c>
      <c r="E53" s="22">
        <v>11</v>
      </c>
      <c r="F53" s="54" t="s">
        <v>242</v>
      </c>
      <c r="G53" s="160">
        <v>41274</v>
      </c>
      <c r="H53" s="57">
        <v>5000000</v>
      </c>
      <c r="I53" s="59">
        <f t="shared" si="11"/>
        <v>-3.8461538461538436E-2</v>
      </c>
      <c r="J53" s="84">
        <v>176291044</v>
      </c>
      <c r="K53" s="87">
        <f t="shared" si="12"/>
        <v>35.258208799999998</v>
      </c>
      <c r="L53" s="88">
        <f>697327847.284/M53</f>
        <v>0.16454172894856064</v>
      </c>
      <c r="M53" s="178">
        <v>4238000000</v>
      </c>
      <c r="N53" s="163">
        <v>45000000</v>
      </c>
      <c r="O53" s="163">
        <v>45000000</v>
      </c>
      <c r="P53" s="84"/>
      <c r="Q53" s="88">
        <v>0.25525970564902889</v>
      </c>
      <c r="R53" s="62">
        <v>0</v>
      </c>
      <c r="S53" s="67">
        <v>1235793</v>
      </c>
      <c r="T53" s="67">
        <v>606484</v>
      </c>
      <c r="U53" s="67">
        <v>137661</v>
      </c>
      <c r="V53" s="164">
        <v>2597044</v>
      </c>
      <c r="W53" s="54"/>
      <c r="X53" s="54"/>
      <c r="Y53" s="54">
        <v>497</v>
      </c>
      <c r="Z53" s="74">
        <f t="shared" si="9"/>
        <v>1.2202897384305834E-3</v>
      </c>
      <c r="AA53" s="74">
        <f t="shared" si="10"/>
        <v>2.4865050301810863E-3</v>
      </c>
      <c r="AB53" s="54">
        <v>665</v>
      </c>
      <c r="AC53" s="57">
        <v>677</v>
      </c>
      <c r="AD53" s="57">
        <v>4950000</v>
      </c>
      <c r="AE53" s="64">
        <v>0</v>
      </c>
      <c r="AF53" s="64">
        <v>0</v>
      </c>
      <c r="AG53" s="64">
        <v>0</v>
      </c>
      <c r="AH53" s="157">
        <v>0.08</v>
      </c>
      <c r="AI53" s="54">
        <v>0</v>
      </c>
      <c r="AJ53" s="34"/>
      <c r="AK53" s="78" t="s">
        <v>266</v>
      </c>
      <c r="AL53" s="34"/>
    </row>
    <row r="54" spans="1:38" ht="14.5">
      <c r="A54" s="22">
        <v>2013</v>
      </c>
      <c r="B54" s="24" t="s">
        <v>150</v>
      </c>
      <c r="C54" s="24" t="s">
        <v>151</v>
      </c>
      <c r="D54" s="24" t="s">
        <v>105</v>
      </c>
      <c r="E54" s="22">
        <v>11</v>
      </c>
      <c r="F54" s="54" t="s">
        <v>242</v>
      </c>
      <c r="G54" s="160">
        <v>41639</v>
      </c>
      <c r="H54" s="57">
        <v>5100000</v>
      </c>
      <c r="I54" s="59">
        <f t="shared" si="11"/>
        <v>2.0000000000000018E-2</v>
      </c>
      <c r="J54" s="84">
        <v>182509445</v>
      </c>
      <c r="K54" s="87">
        <f t="shared" si="12"/>
        <v>35.786165686274508</v>
      </c>
      <c r="L54" s="88">
        <f>713321950.408/M54</f>
        <v>0.13754761866718088</v>
      </c>
      <c r="M54" s="57">
        <v>5186000000</v>
      </c>
      <c r="N54" s="163">
        <v>44000000</v>
      </c>
      <c r="O54" s="163">
        <v>44000000</v>
      </c>
      <c r="P54" s="84"/>
      <c r="Q54" s="88">
        <v>0.24108341351868118</v>
      </c>
      <c r="R54" s="62">
        <v>0</v>
      </c>
      <c r="S54" s="67">
        <v>529850</v>
      </c>
      <c r="T54" s="67">
        <v>493308</v>
      </c>
      <c r="U54" s="67">
        <v>148404</v>
      </c>
      <c r="V54" s="164">
        <v>777007</v>
      </c>
      <c r="W54" s="54"/>
      <c r="X54" s="54"/>
      <c r="Y54" s="54">
        <v>498</v>
      </c>
      <c r="Z54" s="74">
        <f t="shared" si="9"/>
        <v>9.9057831325301206E-4</v>
      </c>
      <c r="AA54" s="74">
        <f t="shared" si="10"/>
        <v>1.0639558232931727E-3</v>
      </c>
      <c r="AB54" s="54">
        <v>674</v>
      </c>
      <c r="AC54" s="57">
        <v>761</v>
      </c>
      <c r="AD54" s="57">
        <v>4750000</v>
      </c>
      <c r="AE54" s="64">
        <v>0</v>
      </c>
      <c r="AF54" s="64">
        <v>0</v>
      </c>
      <c r="AG54" s="64">
        <v>0</v>
      </c>
      <c r="AH54" s="157">
        <v>0.08</v>
      </c>
      <c r="AI54" s="54">
        <v>0</v>
      </c>
      <c r="AJ54" s="78" t="s">
        <v>275</v>
      </c>
      <c r="AK54" s="78" t="s">
        <v>277</v>
      </c>
      <c r="AL54" s="34"/>
    </row>
    <row r="55" spans="1:38" ht="14.5">
      <c r="A55" s="22">
        <v>2014</v>
      </c>
      <c r="B55" s="24" t="s">
        <v>150</v>
      </c>
      <c r="C55" s="24" t="s">
        <v>151</v>
      </c>
      <c r="D55" s="24" t="s">
        <v>105</v>
      </c>
      <c r="E55" s="22">
        <v>11</v>
      </c>
      <c r="F55" s="54" t="s">
        <v>242</v>
      </c>
      <c r="G55" s="160">
        <v>42004</v>
      </c>
      <c r="H55" s="57">
        <v>4845000</v>
      </c>
      <c r="I55" s="59">
        <f t="shared" si="11"/>
        <v>-5.0000000000000044E-2</v>
      </c>
      <c r="J55" s="84">
        <v>156369110</v>
      </c>
      <c r="K55" s="87">
        <f t="shared" si="12"/>
        <v>32.274326109391126</v>
      </c>
      <c r="L55" s="88">
        <f>596217245.09/M55</f>
        <v>0.13377097713484407</v>
      </c>
      <c r="M55" s="57">
        <v>4457000000</v>
      </c>
      <c r="N55" s="163">
        <v>39000000</v>
      </c>
      <c r="O55" s="163">
        <v>39000000</v>
      </c>
      <c r="P55" s="84"/>
      <c r="Q55" s="88">
        <v>0.24940987385552044</v>
      </c>
      <c r="R55" s="62">
        <v>0</v>
      </c>
      <c r="S55" s="57">
        <v>223355</v>
      </c>
      <c r="T55" s="57">
        <v>273376</v>
      </c>
      <c r="U55" s="57">
        <v>173608</v>
      </c>
      <c r="V55" s="164">
        <v>946660</v>
      </c>
      <c r="W55" s="57"/>
      <c r="X55" s="57"/>
      <c r="Y55" s="57">
        <v>499</v>
      </c>
      <c r="Z55" s="74">
        <f t="shared" si="9"/>
        <v>5.4784769539078159E-4</v>
      </c>
      <c r="AA55" s="74">
        <f t="shared" si="10"/>
        <v>4.4760521042084167E-4</v>
      </c>
      <c r="AB55" s="57">
        <v>629</v>
      </c>
      <c r="AC55" s="57">
        <v>706</v>
      </c>
      <c r="AD55" s="57">
        <v>4750000</v>
      </c>
      <c r="AE55" s="64">
        <v>0</v>
      </c>
      <c r="AF55" s="64">
        <v>0</v>
      </c>
      <c r="AG55" s="64">
        <v>0</v>
      </c>
      <c r="AH55" s="157">
        <v>0.1</v>
      </c>
      <c r="AI55" s="54">
        <v>0</v>
      </c>
      <c r="AJ55" s="34"/>
      <c r="AK55" s="78" t="s">
        <v>286</v>
      </c>
      <c r="AL55" s="34"/>
    </row>
    <row r="56" spans="1:38" ht="14.5">
      <c r="A56" s="22">
        <v>2015</v>
      </c>
      <c r="B56" s="24" t="s">
        <v>150</v>
      </c>
      <c r="C56" s="24" t="s">
        <v>151</v>
      </c>
      <c r="D56" s="24" t="s">
        <v>105</v>
      </c>
      <c r="E56" s="22">
        <v>11</v>
      </c>
      <c r="F56" s="54" t="s">
        <v>242</v>
      </c>
      <c r="G56" s="160">
        <v>42369</v>
      </c>
      <c r="H56" s="57">
        <v>5000000</v>
      </c>
      <c r="I56" s="59">
        <f t="shared" si="11"/>
        <v>3.1991744066047545E-2</v>
      </c>
      <c r="J56" s="84">
        <v>168654122</v>
      </c>
      <c r="K56" s="87">
        <f t="shared" si="12"/>
        <v>33.730824400000003</v>
      </c>
      <c r="L56" s="88">
        <f>454758700.652/M56</f>
        <v>0.10546352055936921</v>
      </c>
      <c r="M56" s="57">
        <v>4312000000</v>
      </c>
      <c r="N56" s="163">
        <v>27000000</v>
      </c>
      <c r="O56" s="163">
        <v>27000000</v>
      </c>
      <c r="P56" s="84"/>
      <c r="Q56" s="88">
        <v>0.16009095822751371</v>
      </c>
      <c r="R56" s="62">
        <v>0</v>
      </c>
      <c r="S56" s="57">
        <v>219605</v>
      </c>
      <c r="T56" s="57">
        <v>571698</v>
      </c>
      <c r="U56" s="57">
        <v>207000</v>
      </c>
      <c r="V56" s="164">
        <v>1182407</v>
      </c>
      <c r="W56" s="57"/>
      <c r="X56" s="57"/>
      <c r="Y56" s="57">
        <v>530</v>
      </c>
      <c r="Z56" s="74">
        <f t="shared" si="9"/>
        <v>1.0786754716981132E-3</v>
      </c>
      <c r="AA56" s="74">
        <f t="shared" si="10"/>
        <v>4.1434905660377359E-4</v>
      </c>
      <c r="AB56" s="57">
        <v>569</v>
      </c>
      <c r="AC56" s="57">
        <v>633</v>
      </c>
      <c r="AD56" s="57">
        <v>4750000</v>
      </c>
      <c r="AE56" s="64">
        <v>0</v>
      </c>
      <c r="AF56" s="64">
        <v>0</v>
      </c>
      <c r="AG56" s="64">
        <v>0</v>
      </c>
      <c r="AH56" s="157">
        <v>0.16</v>
      </c>
      <c r="AI56" s="54">
        <v>0</v>
      </c>
      <c r="AJ56" s="34"/>
      <c r="AK56" s="78" t="s">
        <v>289</v>
      </c>
      <c r="AL56" s="34"/>
    </row>
    <row r="57" spans="1:38" ht="14.5">
      <c r="A57" s="22">
        <v>2016</v>
      </c>
      <c r="B57" s="24" t="s">
        <v>150</v>
      </c>
      <c r="C57" s="24" t="s">
        <v>151</v>
      </c>
      <c r="D57" s="24" t="s">
        <v>105</v>
      </c>
      <c r="E57" s="22">
        <v>11</v>
      </c>
      <c r="F57" s="54" t="s">
        <v>242</v>
      </c>
      <c r="G57" s="160">
        <v>42735</v>
      </c>
      <c r="H57" s="57">
        <v>4900000</v>
      </c>
      <c r="I57" s="59">
        <f t="shared" si="11"/>
        <v>-2.0000000000000018E-2</v>
      </c>
      <c r="J57" s="84">
        <v>141354095</v>
      </c>
      <c r="K57" s="87">
        <f t="shared" si="12"/>
        <v>28.847774489795917</v>
      </c>
      <c r="L57" s="88">
        <f>325638851.31/M57</f>
        <v>8.63305544300106E-2</v>
      </c>
      <c r="M57" s="57">
        <v>3772000000</v>
      </c>
      <c r="N57" s="163">
        <v>21000000</v>
      </c>
      <c r="O57" s="163">
        <v>21000000</v>
      </c>
      <c r="P57" s="84"/>
      <c r="Q57" s="88">
        <v>0.14856308195386911</v>
      </c>
      <c r="R57" s="62">
        <v>0</v>
      </c>
      <c r="S57" s="57">
        <v>202605</v>
      </c>
      <c r="T57" s="57">
        <v>912089</v>
      </c>
      <c r="U57" s="57">
        <v>249549</v>
      </c>
      <c r="V57" s="164">
        <v>1712021</v>
      </c>
      <c r="W57" s="57"/>
      <c r="X57" s="57"/>
      <c r="Y57" s="57">
        <v>530</v>
      </c>
      <c r="Z57" s="74">
        <f t="shared" si="9"/>
        <v>1.7209226415094341E-3</v>
      </c>
      <c r="AA57" s="74">
        <f t="shared" si="10"/>
        <v>3.822735849056604E-4</v>
      </c>
      <c r="AB57" s="57"/>
      <c r="AC57" s="57">
        <v>682</v>
      </c>
      <c r="AD57" s="57">
        <v>4750000</v>
      </c>
      <c r="AE57" s="64">
        <v>0</v>
      </c>
      <c r="AF57" s="64">
        <v>0</v>
      </c>
      <c r="AG57" s="64">
        <v>0</v>
      </c>
      <c r="AH57" s="157">
        <v>0.04</v>
      </c>
      <c r="AI57" s="54">
        <v>0</v>
      </c>
      <c r="AJ57" s="34"/>
      <c r="AK57" s="78" t="s">
        <v>293</v>
      </c>
      <c r="AL57" s="34"/>
    </row>
    <row r="58" spans="1:38" ht="14.5">
      <c r="A58" s="22">
        <v>2017</v>
      </c>
      <c r="B58" s="24" t="s">
        <v>150</v>
      </c>
      <c r="C58" s="24" t="s">
        <v>151</v>
      </c>
      <c r="D58" s="24" t="s">
        <v>105</v>
      </c>
      <c r="E58" s="22">
        <v>11</v>
      </c>
      <c r="F58" s="54" t="s">
        <v>242</v>
      </c>
      <c r="G58" s="160">
        <v>43100</v>
      </c>
      <c r="H58" s="57">
        <v>5300000</v>
      </c>
      <c r="I58" s="59">
        <f t="shared" si="11"/>
        <v>8.163265306122458E-2</v>
      </c>
      <c r="J58" s="84">
        <v>165318074</v>
      </c>
      <c r="K58" s="87">
        <f t="shared" si="12"/>
        <v>31.192089433962263</v>
      </c>
      <c r="L58" s="88">
        <f>427683851.328/M58</f>
        <v>0.10591477249331352</v>
      </c>
      <c r="M58" s="57">
        <v>4038000000</v>
      </c>
      <c r="N58" s="163">
        <v>18000000</v>
      </c>
      <c r="O58" s="163">
        <v>18000000</v>
      </c>
      <c r="P58" s="84"/>
      <c r="Q58" s="88">
        <v>0.10888101684513939</v>
      </c>
      <c r="R58" s="62">
        <v>0</v>
      </c>
      <c r="S58" s="57">
        <v>188605</v>
      </c>
      <c r="T58" s="57">
        <v>1037516</v>
      </c>
      <c r="U58" s="57">
        <v>245969</v>
      </c>
      <c r="V58" s="164">
        <v>1896681</v>
      </c>
      <c r="W58" s="57"/>
      <c r="X58" s="57"/>
      <c r="Y58" s="57">
        <v>533</v>
      </c>
      <c r="Z58" s="74">
        <f t="shared" si="9"/>
        <v>1.9465590994371482E-3</v>
      </c>
      <c r="AA58" s="74">
        <f t="shared" si="10"/>
        <v>3.5385553470919324E-4</v>
      </c>
      <c r="AB58" s="57"/>
      <c r="AC58" s="57">
        <v>691</v>
      </c>
      <c r="AD58" s="57">
        <v>4750000</v>
      </c>
      <c r="AE58" s="64">
        <v>0</v>
      </c>
      <c r="AF58" s="64">
        <v>0</v>
      </c>
      <c r="AG58" s="64">
        <v>0</v>
      </c>
      <c r="AH58" s="157">
        <v>0.04</v>
      </c>
      <c r="AI58" s="54">
        <v>0</v>
      </c>
      <c r="AJ58" s="34"/>
      <c r="AK58" s="78" t="s">
        <v>295</v>
      </c>
      <c r="AL58" s="34"/>
    </row>
    <row r="59" spans="1:38" ht="14.5">
      <c r="A59" s="40">
        <v>2004</v>
      </c>
      <c r="B59" s="41" t="s">
        <v>182</v>
      </c>
      <c r="C59" s="41" t="s">
        <v>183</v>
      </c>
      <c r="D59" s="41" t="s">
        <v>105</v>
      </c>
      <c r="E59" s="40">
        <v>11</v>
      </c>
      <c r="G59" s="194"/>
      <c r="H59" s="118"/>
      <c r="I59" s="117"/>
      <c r="J59" s="43"/>
      <c r="K59" s="44"/>
      <c r="L59" s="45"/>
      <c r="M59" s="118"/>
      <c r="N59" s="46"/>
      <c r="O59" s="46"/>
      <c r="P59" s="45"/>
      <c r="Q59" s="45"/>
      <c r="R59" s="45"/>
      <c r="S59" s="43"/>
      <c r="T59" s="43"/>
      <c r="U59" s="43"/>
      <c r="V59" s="43"/>
      <c r="W59" s="43"/>
      <c r="X59" s="43"/>
      <c r="Y59" s="43"/>
      <c r="Z59" s="43"/>
      <c r="AA59" s="43"/>
      <c r="AB59" s="43"/>
      <c r="AC59" s="43">
        <f>AVERAGE(AC50:AC58)</f>
        <v>627</v>
      </c>
      <c r="AD59" s="43"/>
      <c r="AE59" s="48"/>
      <c r="AF59" s="48"/>
      <c r="AG59" s="48"/>
      <c r="AH59" s="50"/>
    </row>
    <row r="60" spans="1:38" ht="14.5">
      <c r="A60" s="40">
        <v>2005</v>
      </c>
      <c r="B60" s="41" t="s">
        <v>182</v>
      </c>
      <c r="C60" s="41" t="s">
        <v>183</v>
      </c>
      <c r="D60" s="41" t="s">
        <v>105</v>
      </c>
      <c r="E60" s="40">
        <v>11</v>
      </c>
      <c r="G60" s="194"/>
      <c r="H60" s="118"/>
      <c r="I60" s="117"/>
      <c r="J60" s="43"/>
      <c r="K60" s="44"/>
      <c r="L60" s="45"/>
      <c r="M60" s="118"/>
      <c r="N60" s="46"/>
      <c r="O60" s="46"/>
      <c r="P60" s="45"/>
      <c r="Q60" s="45"/>
      <c r="R60" s="45"/>
      <c r="S60" s="43"/>
      <c r="T60" s="43"/>
      <c r="U60" s="43"/>
      <c r="V60" s="43"/>
      <c r="W60" s="43"/>
      <c r="X60" s="43"/>
      <c r="Y60" s="43"/>
      <c r="Z60" s="43"/>
      <c r="AA60" s="43"/>
      <c r="AB60" s="43"/>
      <c r="AC60" s="43"/>
      <c r="AD60" s="43"/>
      <c r="AE60" s="48"/>
      <c r="AF60" s="48"/>
      <c r="AG60" s="48"/>
      <c r="AH60" s="50"/>
    </row>
    <row r="61" spans="1:38" ht="14.5">
      <c r="A61" s="40">
        <v>2006</v>
      </c>
      <c r="B61" s="41" t="s">
        <v>182</v>
      </c>
      <c r="C61" s="41" t="s">
        <v>183</v>
      </c>
      <c r="D61" s="41" t="s">
        <v>105</v>
      </c>
      <c r="E61" s="40">
        <v>11</v>
      </c>
      <c r="G61" s="194"/>
      <c r="H61" s="118"/>
      <c r="I61" s="117"/>
      <c r="J61" s="43"/>
      <c r="K61" s="44"/>
      <c r="L61" s="45"/>
      <c r="M61" s="118"/>
      <c r="N61" s="46"/>
      <c r="O61" s="46"/>
      <c r="P61" s="45"/>
      <c r="Q61" s="45"/>
      <c r="R61" s="45"/>
      <c r="S61" s="43"/>
      <c r="T61" s="43"/>
      <c r="U61" s="43"/>
      <c r="V61" s="43"/>
      <c r="W61" s="43"/>
      <c r="X61" s="43"/>
      <c r="Y61" s="43"/>
      <c r="Z61" s="43"/>
      <c r="AA61" s="43"/>
      <c r="AB61" s="43"/>
      <c r="AC61" s="43"/>
      <c r="AD61" s="43"/>
      <c r="AE61" s="48"/>
      <c r="AF61" s="48"/>
      <c r="AG61" s="48"/>
      <c r="AH61" s="50"/>
    </row>
    <row r="62" spans="1:38" ht="14.5">
      <c r="A62" s="40">
        <v>2007</v>
      </c>
      <c r="B62" s="41" t="s">
        <v>182</v>
      </c>
      <c r="C62" s="41" t="s">
        <v>183</v>
      </c>
      <c r="D62" s="41" t="s">
        <v>105</v>
      </c>
      <c r="E62" s="40">
        <v>11</v>
      </c>
      <c r="G62" s="194"/>
      <c r="H62" s="118"/>
      <c r="I62" s="117"/>
      <c r="J62" s="43"/>
      <c r="K62" s="44"/>
      <c r="L62" s="45"/>
      <c r="M62" s="118"/>
      <c r="N62" s="46"/>
      <c r="O62" s="46"/>
      <c r="P62" s="45"/>
      <c r="Q62" s="45"/>
      <c r="R62" s="45"/>
      <c r="S62" s="43"/>
      <c r="T62" s="43"/>
      <c r="U62" s="43"/>
      <c r="V62" s="43"/>
      <c r="W62" s="43"/>
      <c r="X62" s="43"/>
      <c r="Y62" s="43"/>
      <c r="Z62" s="43"/>
      <c r="AA62" s="43"/>
      <c r="AB62" s="43"/>
      <c r="AC62" s="43"/>
      <c r="AD62" s="43"/>
      <c r="AE62" s="48"/>
      <c r="AF62" s="48"/>
      <c r="AG62" s="48"/>
      <c r="AH62" s="50"/>
    </row>
    <row r="63" spans="1:38" ht="14.5">
      <c r="A63" s="40">
        <v>2008</v>
      </c>
      <c r="B63" s="41" t="s">
        <v>182</v>
      </c>
      <c r="C63" s="41" t="s">
        <v>183</v>
      </c>
      <c r="D63" s="41" t="s">
        <v>105</v>
      </c>
      <c r="E63" s="40">
        <v>11</v>
      </c>
      <c r="G63" s="194"/>
      <c r="H63" s="118"/>
      <c r="I63" s="117"/>
      <c r="J63" s="118"/>
      <c r="K63" s="44"/>
      <c r="L63" s="45"/>
      <c r="M63" s="118"/>
      <c r="N63" s="46"/>
      <c r="O63" s="46"/>
      <c r="P63" s="45"/>
      <c r="Q63" s="45"/>
      <c r="R63" s="45"/>
      <c r="S63" s="43"/>
      <c r="T63" s="43"/>
      <c r="U63" s="43"/>
      <c r="V63" s="43"/>
      <c r="W63" s="43"/>
      <c r="X63" s="43"/>
      <c r="Y63" s="43"/>
      <c r="Z63" s="43"/>
      <c r="AA63" s="43"/>
      <c r="AB63" s="43"/>
      <c r="AC63" s="43"/>
      <c r="AD63" s="43"/>
      <c r="AE63" s="48"/>
      <c r="AF63" s="48"/>
      <c r="AG63" s="48"/>
      <c r="AH63" s="50"/>
    </row>
    <row r="64" spans="1:38" ht="14.5">
      <c r="A64" s="22">
        <v>2009</v>
      </c>
      <c r="B64" s="24" t="s">
        <v>182</v>
      </c>
      <c r="C64" s="24" t="s">
        <v>183</v>
      </c>
      <c r="D64" s="24" t="s">
        <v>105</v>
      </c>
      <c r="E64" s="22">
        <v>11</v>
      </c>
      <c r="F64" s="54" t="s">
        <v>142</v>
      </c>
      <c r="G64" s="200">
        <v>40178</v>
      </c>
      <c r="H64" s="57">
        <v>2238665</v>
      </c>
      <c r="I64" s="59"/>
      <c r="J64" s="57">
        <v>32255407.600000001</v>
      </c>
      <c r="K64" s="87">
        <f t="shared" ref="K64:K72" si="13">J64/H64</f>
        <v>14.408322638715486</v>
      </c>
      <c r="L64" s="88">
        <f>79574090.5492/M64</f>
        <v>7.5994738371884252E-2</v>
      </c>
      <c r="M64" s="57">
        <v>1047100000</v>
      </c>
      <c r="N64" s="54">
        <v>5544000</v>
      </c>
      <c r="O64" s="54">
        <v>5544000</v>
      </c>
      <c r="P64" s="57"/>
      <c r="Q64" s="88">
        <v>0.17187815664124487</v>
      </c>
      <c r="R64" s="62">
        <v>0</v>
      </c>
      <c r="S64" s="57">
        <v>2228405</v>
      </c>
      <c r="T64" s="57">
        <v>1176738</v>
      </c>
      <c r="U64" s="57">
        <v>308946.61849999998</v>
      </c>
      <c r="V64" s="57"/>
      <c r="W64" s="57"/>
      <c r="X64" s="57"/>
      <c r="Y64" s="57">
        <v>696</v>
      </c>
      <c r="Z64" s="74">
        <f t="shared" ref="Z64:Z72" si="14">T64/(Y64*1000000)</f>
        <v>1.6907155172413793E-3</v>
      </c>
      <c r="AA64" s="74">
        <f t="shared" ref="AA64:AA72" si="15">S64/(Y64*1000000)</f>
        <v>3.2017313218390803E-3</v>
      </c>
      <c r="AB64" s="57"/>
      <c r="AC64" s="57">
        <v>421</v>
      </c>
      <c r="AD64" s="57">
        <v>2200000</v>
      </c>
      <c r="AE64" s="57">
        <v>503235</v>
      </c>
      <c r="AF64" s="206">
        <v>503235</v>
      </c>
      <c r="AG64" s="88">
        <v>0.22874318181818182</v>
      </c>
      <c r="AH64" s="76">
        <v>8.6949131462211351E-2</v>
      </c>
      <c r="AI64" s="54">
        <v>1</v>
      </c>
      <c r="AJ64" s="54" t="s">
        <v>304</v>
      </c>
      <c r="AK64" s="78" t="s">
        <v>305</v>
      </c>
      <c r="AL64" s="211" t="s">
        <v>307</v>
      </c>
    </row>
    <row r="65" spans="1:38" ht="14.5">
      <c r="A65" s="22">
        <v>2010</v>
      </c>
      <c r="B65" s="24" t="s">
        <v>182</v>
      </c>
      <c r="C65" s="24" t="s">
        <v>183</v>
      </c>
      <c r="D65" s="24" t="s">
        <v>105</v>
      </c>
      <c r="E65" s="22">
        <v>11</v>
      </c>
      <c r="F65" s="54" t="s">
        <v>142</v>
      </c>
      <c r="G65" s="200">
        <v>40543</v>
      </c>
      <c r="H65" s="57">
        <v>2334104</v>
      </c>
      <c r="I65" s="59">
        <f t="shared" ref="I65:I72" si="16">(H65/H64)-1</f>
        <v>4.263210440150722E-2</v>
      </c>
      <c r="J65" s="57">
        <v>38701205.700000003</v>
      </c>
      <c r="K65" s="87">
        <f t="shared" si="13"/>
        <v>16.580754627900042</v>
      </c>
      <c r="L65" s="88">
        <f>115794007.4544/M65</f>
        <v>9.2236743232754506E-2</v>
      </c>
      <c r="M65" s="57">
        <v>1255400000</v>
      </c>
      <c r="N65" s="54">
        <v>5040000.1607857002</v>
      </c>
      <c r="O65" s="54">
        <v>5040000.1607857002</v>
      </c>
      <c r="P65" s="57"/>
      <c r="Q65" s="88">
        <v>0.13022850502008262</v>
      </c>
      <c r="R65" s="62">
        <v>0</v>
      </c>
      <c r="S65" s="57">
        <v>2460158</v>
      </c>
      <c r="T65" s="57">
        <v>1143004</v>
      </c>
      <c r="U65" s="57">
        <v>310005</v>
      </c>
      <c r="V65" s="57"/>
      <c r="W65" s="57"/>
      <c r="X65" s="57"/>
      <c r="Y65" s="57">
        <v>1133</v>
      </c>
      <c r="Z65" s="74">
        <f t="shared" si="14"/>
        <v>1.0088296557811121E-3</v>
      </c>
      <c r="AA65" s="74">
        <f t="shared" si="15"/>
        <v>2.1713662842012356E-3</v>
      </c>
      <c r="AB65" s="57"/>
      <c r="AC65" s="57">
        <v>492</v>
      </c>
      <c r="AD65" s="57">
        <v>2550000</v>
      </c>
      <c r="AE65" s="57">
        <v>90100</v>
      </c>
      <c r="AF65" s="206">
        <v>90100</v>
      </c>
      <c r="AG65" s="88">
        <v>3.5333333333333335E-2</v>
      </c>
      <c r="AH65" s="76">
        <v>7.5666386498787416E-2</v>
      </c>
      <c r="AI65" s="54">
        <v>1</v>
      </c>
      <c r="AJ65" s="78" t="s">
        <v>308</v>
      </c>
      <c r="AK65" s="78" t="s">
        <v>310</v>
      </c>
      <c r="AL65" s="34"/>
    </row>
    <row r="66" spans="1:38" ht="14.5">
      <c r="A66" s="22">
        <v>2011</v>
      </c>
      <c r="B66" s="24" t="s">
        <v>182</v>
      </c>
      <c r="C66" s="24" t="s">
        <v>183</v>
      </c>
      <c r="D66" s="24" t="s">
        <v>105</v>
      </c>
      <c r="E66" s="22">
        <v>11</v>
      </c>
      <c r="F66" s="54" t="s">
        <v>142</v>
      </c>
      <c r="G66" s="200">
        <v>40908</v>
      </c>
      <c r="H66" s="57">
        <v>2610373</v>
      </c>
      <c r="I66" s="59">
        <f t="shared" si="16"/>
        <v>0.11836190675308389</v>
      </c>
      <c r="J66" s="84">
        <v>65409000.600000001</v>
      </c>
      <c r="K66" s="87">
        <f t="shared" si="13"/>
        <v>25.057338778787553</v>
      </c>
      <c r="L66" s="88">
        <f>248819430.614/M66</f>
        <v>0.15586283551365573</v>
      </c>
      <c r="M66" s="57">
        <v>1596400000</v>
      </c>
      <c r="N66" s="163">
        <v>26508858.602945998</v>
      </c>
      <c r="O66" s="163">
        <v>26508858.602945998</v>
      </c>
      <c r="P66" s="84"/>
      <c r="Q66" s="88">
        <v>0.40527845342046087</v>
      </c>
      <c r="R66" s="62">
        <v>0</v>
      </c>
      <c r="S66" s="57">
        <v>2880733</v>
      </c>
      <c r="T66" s="57">
        <v>1115405</v>
      </c>
      <c r="U66" s="57">
        <v>419914</v>
      </c>
      <c r="V66" s="57"/>
      <c r="W66" s="57"/>
      <c r="X66" s="57"/>
      <c r="Y66" s="57">
        <v>1138</v>
      </c>
      <c r="Z66" s="74">
        <f t="shared" si="14"/>
        <v>9.8014499121265369E-4</v>
      </c>
      <c r="AA66" s="74">
        <f t="shared" si="15"/>
        <v>2.5313998242530757E-3</v>
      </c>
      <c r="AB66" s="57"/>
      <c r="AC66" s="57">
        <v>592</v>
      </c>
      <c r="AD66" s="57">
        <v>2700000</v>
      </c>
      <c r="AE66" s="57">
        <v>0</v>
      </c>
      <c r="AF66" s="64">
        <v>0</v>
      </c>
      <c r="AG66" s="219">
        <v>0</v>
      </c>
      <c r="AH66" s="76">
        <v>0.10817526437247989</v>
      </c>
      <c r="AI66" s="54">
        <v>0</v>
      </c>
      <c r="AJ66" s="78" t="s">
        <v>315</v>
      </c>
      <c r="AK66" s="78" t="s">
        <v>319</v>
      </c>
      <c r="AL66" s="34"/>
    </row>
    <row r="67" spans="1:38" ht="14.5">
      <c r="A67" s="22">
        <v>2012</v>
      </c>
      <c r="B67" s="24" t="s">
        <v>182</v>
      </c>
      <c r="C67" s="24" t="s">
        <v>183</v>
      </c>
      <c r="D67" s="24" t="s">
        <v>105</v>
      </c>
      <c r="E67" s="22">
        <v>11</v>
      </c>
      <c r="F67" s="54" t="s">
        <v>142</v>
      </c>
      <c r="G67" s="200">
        <v>41274</v>
      </c>
      <c r="H67" s="57">
        <v>2620000</v>
      </c>
      <c r="I67" s="59">
        <f t="shared" si="16"/>
        <v>3.6879786911678814E-3</v>
      </c>
      <c r="J67" s="84">
        <v>72118970.299999997</v>
      </c>
      <c r="K67" s="87">
        <f t="shared" si="13"/>
        <v>27.526324541984732</v>
      </c>
      <c r="L67" s="88">
        <f>283162852.9096/M67</f>
        <v>0.15299484164123622</v>
      </c>
      <c r="M67" s="57">
        <v>1850800000</v>
      </c>
      <c r="N67" s="163">
        <v>32869822.757033002</v>
      </c>
      <c r="O67" s="163">
        <v>32869822.757033002</v>
      </c>
      <c r="P67" s="84"/>
      <c r="Q67" s="88">
        <v>0.45577221388909656</v>
      </c>
      <c r="R67" s="62">
        <v>0</v>
      </c>
      <c r="S67" s="57">
        <v>3689920</v>
      </c>
      <c r="T67" s="57">
        <v>1264806</v>
      </c>
      <c r="U67" s="57">
        <v>501386</v>
      </c>
      <c r="V67" s="57"/>
      <c r="W67" s="57"/>
      <c r="X67" s="57"/>
      <c r="Y67" s="57">
        <v>1140</v>
      </c>
      <c r="Z67" s="74">
        <f t="shared" si="14"/>
        <v>1.109478947368421E-3</v>
      </c>
      <c r="AA67" s="74">
        <f t="shared" si="15"/>
        <v>3.2367719298245614E-3</v>
      </c>
      <c r="AB67" s="57"/>
      <c r="AC67" s="57">
        <v>705</v>
      </c>
      <c r="AD67" s="57">
        <v>2500000</v>
      </c>
      <c r="AE67" s="57">
        <v>0</v>
      </c>
      <c r="AF67" s="64">
        <v>0</v>
      </c>
      <c r="AG67" s="64">
        <v>0</v>
      </c>
      <c r="AH67" s="76">
        <v>7.7430660574291418E-2</v>
      </c>
      <c r="AI67" s="54">
        <v>0</v>
      </c>
      <c r="AJ67" s="78" t="s">
        <v>323</v>
      </c>
      <c r="AK67" s="78" t="s">
        <v>324</v>
      </c>
      <c r="AL67" s="34"/>
    </row>
    <row r="68" spans="1:38" ht="14.5">
      <c r="A68" s="22">
        <v>2013</v>
      </c>
      <c r="B68" s="24" t="s">
        <v>182</v>
      </c>
      <c r="C68" s="24" t="s">
        <v>183</v>
      </c>
      <c r="D68" s="24" t="s">
        <v>105</v>
      </c>
      <c r="E68" s="22">
        <v>11</v>
      </c>
      <c r="F68" s="54" t="s">
        <v>142</v>
      </c>
      <c r="G68" s="200">
        <v>41639</v>
      </c>
      <c r="H68" s="57">
        <v>2631092</v>
      </c>
      <c r="I68" s="59">
        <f t="shared" si="16"/>
        <v>4.2335877862595961E-3</v>
      </c>
      <c r="J68" s="57">
        <v>71537792</v>
      </c>
      <c r="K68" s="87">
        <f t="shared" si="13"/>
        <v>27.189392085111429</v>
      </c>
      <c r="L68" s="88">
        <f>277924216.9586/M68</f>
        <v>0.13865706294083016</v>
      </c>
      <c r="M68" s="57">
        <v>2004400000</v>
      </c>
      <c r="N68" s="163">
        <v>14581377.368466999</v>
      </c>
      <c r="O68" s="163">
        <v>14581377.368466999</v>
      </c>
      <c r="P68" s="84"/>
      <c r="Q68" s="88">
        <v>0.20382761194696528</v>
      </c>
      <c r="R68" s="62">
        <v>0</v>
      </c>
      <c r="S68" s="57">
        <v>3208808</v>
      </c>
      <c r="T68" s="57">
        <v>1946797</v>
      </c>
      <c r="U68" s="57">
        <v>1752542</v>
      </c>
      <c r="V68" s="57"/>
      <c r="W68" s="57"/>
      <c r="X68" s="57"/>
      <c r="Y68" s="57">
        <v>1143</v>
      </c>
      <c r="Z68" s="74">
        <f t="shared" si="14"/>
        <v>1.7032344706911636E-3</v>
      </c>
      <c r="AA68" s="74">
        <f t="shared" si="15"/>
        <v>2.8073560804899389E-3</v>
      </c>
      <c r="AB68" s="57"/>
      <c r="AC68" s="57">
        <v>743</v>
      </c>
      <c r="AD68" s="57">
        <v>2600000</v>
      </c>
      <c r="AE68" s="57">
        <v>0</v>
      </c>
      <c r="AF68" s="64">
        <v>0</v>
      </c>
      <c r="AG68" s="64">
        <v>0</v>
      </c>
      <c r="AH68" s="157">
        <v>5.6782534726815714E-2</v>
      </c>
      <c r="AI68" s="54">
        <v>0</v>
      </c>
      <c r="AJ68" s="78" t="s">
        <v>329</v>
      </c>
      <c r="AK68" s="78" t="s">
        <v>331</v>
      </c>
      <c r="AL68" s="34"/>
    </row>
    <row r="69" spans="1:38" ht="14.5">
      <c r="A69" s="22">
        <v>2014</v>
      </c>
      <c r="B69" s="24" t="s">
        <v>182</v>
      </c>
      <c r="C69" s="24" t="s">
        <v>183</v>
      </c>
      <c r="D69" s="24" t="s">
        <v>105</v>
      </c>
      <c r="E69" s="22">
        <v>11</v>
      </c>
      <c r="F69" s="54" t="s">
        <v>142</v>
      </c>
      <c r="G69" s="200">
        <v>42004</v>
      </c>
      <c r="H69" s="57">
        <v>2710390</v>
      </c>
      <c r="I69" s="59">
        <f t="shared" si="16"/>
        <v>3.0138816886676745E-2</v>
      </c>
      <c r="J69" s="57">
        <v>68684734</v>
      </c>
      <c r="K69" s="87">
        <f t="shared" si="13"/>
        <v>25.341273396079529</v>
      </c>
      <c r="L69" s="88">
        <f>257022235.705/M69</f>
        <v>0.13038871535359173</v>
      </c>
      <c r="M69" s="57">
        <v>1971200000</v>
      </c>
      <c r="N69" s="163">
        <v>12246680</v>
      </c>
      <c r="O69" s="163">
        <v>12246680</v>
      </c>
      <c r="P69" s="84"/>
      <c r="Q69" s="88">
        <v>0.1783027953681981</v>
      </c>
      <c r="R69" s="62">
        <v>0</v>
      </c>
      <c r="S69" s="57">
        <v>3630924</v>
      </c>
      <c r="T69" s="57">
        <v>2928481</v>
      </c>
      <c r="U69" s="57">
        <v>3808673.7590000001</v>
      </c>
      <c r="V69" s="57"/>
      <c r="W69" s="57"/>
      <c r="X69" s="57"/>
      <c r="Y69" s="57">
        <v>1145</v>
      </c>
      <c r="Z69" s="74">
        <f t="shared" si="14"/>
        <v>2.5576253275109168E-3</v>
      </c>
      <c r="AA69" s="74">
        <f t="shared" si="15"/>
        <v>3.1711126637554584E-3</v>
      </c>
      <c r="AB69" s="57"/>
      <c r="AC69" s="57">
        <v>720</v>
      </c>
      <c r="AD69" s="57">
        <v>2500000</v>
      </c>
      <c r="AE69" s="57">
        <v>0</v>
      </c>
      <c r="AF69" s="64">
        <v>0</v>
      </c>
      <c r="AG69" s="64">
        <v>0</v>
      </c>
      <c r="AH69" s="76">
        <v>2.7084098318091335E-2</v>
      </c>
      <c r="AI69" s="54">
        <v>0</v>
      </c>
      <c r="AJ69" s="34"/>
      <c r="AK69" s="78" t="s">
        <v>334</v>
      </c>
      <c r="AL69" s="34"/>
    </row>
    <row r="70" spans="1:38" ht="14.5">
      <c r="A70" s="22">
        <v>2015</v>
      </c>
      <c r="B70" s="24" t="s">
        <v>182</v>
      </c>
      <c r="C70" s="24" t="s">
        <v>183</v>
      </c>
      <c r="D70" s="24" t="s">
        <v>105</v>
      </c>
      <c r="E70" s="22">
        <v>11</v>
      </c>
      <c r="F70" s="54" t="s">
        <v>142</v>
      </c>
      <c r="G70" s="200">
        <v>42369</v>
      </c>
      <c r="H70" s="57">
        <v>2594652</v>
      </c>
      <c r="I70" s="59">
        <f t="shared" si="16"/>
        <v>-4.2701603828231405E-2</v>
      </c>
      <c r="J70" s="57">
        <v>72647314</v>
      </c>
      <c r="K70" s="87">
        <f t="shared" si="13"/>
        <v>27.998866129253557</v>
      </c>
      <c r="L70" s="88">
        <f>191107081.9985/M70</f>
        <v>0.10415690102381731</v>
      </c>
      <c r="M70" s="57">
        <v>1834800000</v>
      </c>
      <c r="N70" s="54">
        <v>16984800</v>
      </c>
      <c r="O70" s="54">
        <v>16984800</v>
      </c>
      <c r="P70" s="57"/>
      <c r="Q70" s="88">
        <v>0.23379804388199102</v>
      </c>
      <c r="R70" s="62">
        <v>0</v>
      </c>
      <c r="S70" s="57">
        <v>4592178</v>
      </c>
      <c r="T70" s="57">
        <v>4720967</v>
      </c>
      <c r="U70" s="57">
        <v>3263848.2069999999</v>
      </c>
      <c r="V70" s="57"/>
      <c r="W70" s="57"/>
      <c r="X70" s="236" t="s">
        <v>335</v>
      </c>
      <c r="Y70" s="57">
        <v>1147</v>
      </c>
      <c r="Z70" s="74">
        <f t="shared" si="14"/>
        <v>4.1159258936355712E-3</v>
      </c>
      <c r="AA70" s="74">
        <f t="shared" si="15"/>
        <v>4.0036425457715781E-3</v>
      </c>
      <c r="AB70" s="57"/>
      <c r="AC70" s="57">
        <v>696</v>
      </c>
      <c r="AD70" s="57">
        <v>2800000</v>
      </c>
      <c r="AE70" s="57">
        <v>0</v>
      </c>
      <c r="AF70" s="64">
        <v>0</v>
      </c>
      <c r="AG70" s="64">
        <v>0</v>
      </c>
      <c r="AH70" s="76">
        <v>2.7593041085118931E-2</v>
      </c>
      <c r="AI70" s="54">
        <v>0</v>
      </c>
      <c r="AJ70" s="34"/>
      <c r="AK70" s="78" t="s">
        <v>339</v>
      </c>
      <c r="AL70" s="34"/>
    </row>
    <row r="71" spans="1:38" ht="14.5">
      <c r="A71" s="22">
        <v>2016</v>
      </c>
      <c r="B71" s="24" t="s">
        <v>182</v>
      </c>
      <c r="C71" s="24" t="s">
        <v>183</v>
      </c>
      <c r="D71" s="24" t="s">
        <v>105</v>
      </c>
      <c r="E71" s="22">
        <v>11</v>
      </c>
      <c r="F71" s="54" t="s">
        <v>142</v>
      </c>
      <c r="G71" s="200">
        <v>42735</v>
      </c>
      <c r="H71" s="57">
        <v>2789150</v>
      </c>
      <c r="I71" s="59">
        <f t="shared" si="16"/>
        <v>7.4961112318723266E-2</v>
      </c>
      <c r="J71" s="57">
        <v>90822352</v>
      </c>
      <c r="K71" s="87">
        <f t="shared" si="13"/>
        <v>32.562734883387414</v>
      </c>
      <c r="L71" s="88">
        <f>208076068.0884/M71</f>
        <v>0.10488762379695535</v>
      </c>
      <c r="M71" s="57">
        <v>1983800000</v>
      </c>
      <c r="N71" s="54">
        <v>56326579</v>
      </c>
      <c r="O71" s="54">
        <v>56326579</v>
      </c>
      <c r="P71" s="57"/>
      <c r="Q71" s="88">
        <v>0.62018410675021551</v>
      </c>
      <c r="R71" s="62">
        <v>0</v>
      </c>
      <c r="S71" s="57">
        <v>5094242</v>
      </c>
      <c r="T71" s="57">
        <v>5395527</v>
      </c>
      <c r="U71" s="57">
        <v>2002959</v>
      </c>
      <c r="V71" s="34"/>
      <c r="W71" s="57"/>
      <c r="X71" s="236" t="s">
        <v>341</v>
      </c>
      <c r="Y71" s="57">
        <v>1245</v>
      </c>
      <c r="Z71" s="74">
        <f t="shared" si="14"/>
        <v>4.3337566265060244E-3</v>
      </c>
      <c r="AA71" s="74">
        <f t="shared" si="15"/>
        <v>4.0917606425702815E-3</v>
      </c>
      <c r="AB71" s="57"/>
      <c r="AC71" s="57">
        <v>712</v>
      </c>
      <c r="AD71" s="57">
        <v>2600000</v>
      </c>
      <c r="AE71" s="57">
        <v>0</v>
      </c>
      <c r="AF71" s="64">
        <v>0</v>
      </c>
      <c r="AG71" s="64">
        <v>0</v>
      </c>
      <c r="AH71" s="76">
        <v>2.9241419930875579E-2</v>
      </c>
      <c r="AI71" s="54">
        <v>0</v>
      </c>
      <c r="AJ71" s="34"/>
      <c r="AK71" s="78" t="s">
        <v>342</v>
      </c>
      <c r="AL71" s="34"/>
    </row>
    <row r="72" spans="1:38" ht="14.5">
      <c r="A72" s="22">
        <v>2017</v>
      </c>
      <c r="B72" s="24" t="s">
        <v>182</v>
      </c>
      <c r="C72" s="24" t="s">
        <v>183</v>
      </c>
      <c r="D72" s="24" t="s">
        <v>105</v>
      </c>
      <c r="E72" s="22">
        <v>11</v>
      </c>
      <c r="F72" s="54" t="s">
        <v>142</v>
      </c>
      <c r="G72" s="200">
        <v>43100</v>
      </c>
      <c r="H72" s="57">
        <v>2673533</v>
      </c>
      <c r="I72" s="59">
        <f t="shared" si="16"/>
        <v>-4.1452413817829825E-2</v>
      </c>
      <c r="J72" s="57">
        <v>92275297.900000006</v>
      </c>
      <c r="K72" s="87">
        <f t="shared" si="13"/>
        <v>34.514366532973412</v>
      </c>
      <c r="L72" s="88">
        <f>240374377.191/M72</f>
        <v>0.13677840969102084</v>
      </c>
      <c r="M72" s="57">
        <v>1757400000</v>
      </c>
      <c r="N72" s="54">
        <v>66861188</v>
      </c>
      <c r="O72" s="54">
        <v>66861188</v>
      </c>
      <c r="P72" s="57"/>
      <c r="Q72" s="88">
        <v>0.72458382169037672</v>
      </c>
      <c r="R72" s="62">
        <v>0</v>
      </c>
      <c r="S72" s="57">
        <v>6059520</v>
      </c>
      <c r="T72" s="57">
        <v>5839591</v>
      </c>
      <c r="U72" s="57">
        <v>1854054.0589999999</v>
      </c>
      <c r="V72" s="34"/>
      <c r="W72" s="57"/>
      <c r="X72" s="236" t="s">
        <v>343</v>
      </c>
      <c r="Y72" s="57">
        <v>1247</v>
      </c>
      <c r="Z72" s="74">
        <f t="shared" si="14"/>
        <v>4.6829117882919002E-3</v>
      </c>
      <c r="AA72" s="74">
        <f t="shared" si="15"/>
        <v>4.8592782678428224E-3</v>
      </c>
      <c r="AB72" s="57"/>
      <c r="AC72" s="57">
        <v>682</v>
      </c>
      <c r="AD72" s="57">
        <v>2500000</v>
      </c>
      <c r="AE72" s="57">
        <v>0</v>
      </c>
      <c r="AF72" s="64">
        <v>0</v>
      </c>
      <c r="AG72" s="64">
        <v>0</v>
      </c>
      <c r="AH72" s="76">
        <v>2.6139891008174387E-2</v>
      </c>
      <c r="AI72" s="54">
        <v>0</v>
      </c>
      <c r="AJ72" s="34"/>
      <c r="AK72" s="78" t="s">
        <v>345</v>
      </c>
      <c r="AL72" s="34"/>
    </row>
    <row r="73" spans="1:38" ht="14.5">
      <c r="A73" s="40">
        <v>2004</v>
      </c>
      <c r="B73" s="41" t="s">
        <v>347</v>
      </c>
      <c r="C73" s="41" t="s">
        <v>348</v>
      </c>
      <c r="D73" s="41" t="s">
        <v>105</v>
      </c>
      <c r="E73" s="40">
        <v>11</v>
      </c>
      <c r="H73" s="43"/>
      <c r="I73" s="117"/>
      <c r="J73" s="43"/>
      <c r="K73" s="44"/>
      <c r="L73" s="45"/>
      <c r="M73" s="43"/>
      <c r="N73" s="46"/>
      <c r="O73" s="46"/>
      <c r="P73" s="45"/>
      <c r="Q73" s="45"/>
      <c r="R73" s="45"/>
      <c r="S73" s="43"/>
      <c r="T73" s="43"/>
      <c r="U73" s="43"/>
      <c r="V73" s="43"/>
      <c r="W73" s="43"/>
      <c r="X73" s="43"/>
      <c r="Y73" s="43"/>
      <c r="Z73" s="43"/>
      <c r="AA73" s="43"/>
      <c r="AB73" s="43"/>
      <c r="AC73" s="43">
        <f>AVERAGE(AC64:AC72)</f>
        <v>640.33333333333337</v>
      </c>
      <c r="AD73" s="43"/>
      <c r="AE73" s="48"/>
      <c r="AF73" s="48"/>
      <c r="AG73" s="48"/>
      <c r="AH73" s="50"/>
    </row>
    <row r="74" spans="1:38" ht="14.5">
      <c r="A74" s="40">
        <v>2005</v>
      </c>
      <c r="B74" s="41" t="s">
        <v>347</v>
      </c>
      <c r="C74" s="41" t="s">
        <v>348</v>
      </c>
      <c r="D74" s="41" t="s">
        <v>105</v>
      </c>
      <c r="E74" s="40">
        <v>11</v>
      </c>
      <c r="H74" s="43"/>
      <c r="I74" s="117"/>
      <c r="J74" s="43"/>
      <c r="K74" s="44"/>
      <c r="L74" s="45"/>
      <c r="M74" s="43"/>
      <c r="N74" s="46"/>
      <c r="O74" s="46"/>
      <c r="P74" s="45"/>
      <c r="Q74" s="45"/>
      <c r="R74" s="45"/>
      <c r="S74" s="43"/>
      <c r="T74" s="43"/>
      <c r="U74" s="43"/>
      <c r="V74" s="43"/>
      <c r="W74" s="43"/>
      <c r="X74" s="43"/>
      <c r="Y74" s="43"/>
      <c r="Z74" s="43"/>
      <c r="AA74" s="43"/>
      <c r="AB74" s="43"/>
      <c r="AC74" s="43"/>
      <c r="AD74" s="43"/>
      <c r="AE74" s="48"/>
      <c r="AF74" s="48"/>
      <c r="AG74" s="48"/>
      <c r="AH74" s="50"/>
    </row>
    <row r="75" spans="1:38" ht="14.5">
      <c r="A75" s="40">
        <v>2006</v>
      </c>
      <c r="B75" s="41" t="s">
        <v>347</v>
      </c>
      <c r="C75" s="41" t="s">
        <v>348</v>
      </c>
      <c r="D75" s="41" t="s">
        <v>105</v>
      </c>
      <c r="E75" s="40">
        <v>11</v>
      </c>
      <c r="H75" s="43"/>
      <c r="I75" s="117"/>
      <c r="J75" s="43"/>
      <c r="K75" s="44"/>
      <c r="L75" s="45"/>
      <c r="M75" s="43"/>
      <c r="N75" s="46"/>
      <c r="O75" s="46"/>
      <c r="P75" s="45"/>
      <c r="Q75" s="45"/>
      <c r="R75" s="45"/>
      <c r="S75" s="43"/>
      <c r="T75" s="43"/>
      <c r="U75" s="43"/>
      <c r="V75" s="43"/>
      <c r="W75" s="43"/>
      <c r="X75" s="43"/>
      <c r="Y75" s="43"/>
      <c r="Z75" s="43"/>
      <c r="AA75" s="43"/>
      <c r="AB75" s="43"/>
      <c r="AC75" s="43"/>
      <c r="AD75" s="43"/>
      <c r="AE75" s="48"/>
      <c r="AF75" s="48"/>
      <c r="AG75" s="48"/>
      <c r="AH75" s="50"/>
    </row>
    <row r="76" spans="1:38" ht="14.5">
      <c r="A76" s="40">
        <v>2007</v>
      </c>
      <c r="B76" s="41" t="s">
        <v>347</v>
      </c>
      <c r="C76" s="41" t="s">
        <v>348</v>
      </c>
      <c r="D76" s="41" t="s">
        <v>105</v>
      </c>
      <c r="E76" s="40">
        <v>11</v>
      </c>
      <c r="H76" s="43"/>
      <c r="I76" s="117"/>
      <c r="J76" s="43"/>
      <c r="K76" s="44"/>
      <c r="L76" s="45"/>
      <c r="M76" s="43"/>
      <c r="N76" s="46"/>
      <c r="O76" s="46"/>
      <c r="P76" s="45"/>
      <c r="Q76" s="45"/>
      <c r="R76" s="45"/>
      <c r="S76" s="43"/>
      <c r="T76" s="43"/>
      <c r="U76" s="43"/>
      <c r="V76" s="43"/>
      <c r="W76" s="43"/>
      <c r="X76" s="43"/>
      <c r="Y76" s="43"/>
      <c r="Z76" s="43"/>
      <c r="AA76" s="43"/>
      <c r="AB76" s="43"/>
      <c r="AC76" s="43"/>
      <c r="AD76" s="43"/>
      <c r="AE76" s="48"/>
      <c r="AF76" s="48"/>
      <c r="AG76" s="48"/>
      <c r="AH76" s="50"/>
    </row>
    <row r="77" spans="1:38" ht="14.5">
      <c r="A77" s="40">
        <v>2008</v>
      </c>
      <c r="B77" s="41" t="s">
        <v>347</v>
      </c>
      <c r="C77" s="41" t="s">
        <v>348</v>
      </c>
      <c r="D77" s="41" t="s">
        <v>105</v>
      </c>
      <c r="E77" s="40">
        <v>11</v>
      </c>
      <c r="H77" s="43"/>
      <c r="I77" s="117"/>
      <c r="J77" s="43"/>
      <c r="K77" s="44"/>
      <c r="L77" s="45"/>
      <c r="M77" s="43"/>
      <c r="N77" s="46"/>
      <c r="O77" s="46"/>
      <c r="P77" s="45"/>
      <c r="Q77" s="45"/>
      <c r="R77" s="45"/>
      <c r="S77" s="43"/>
      <c r="T77" s="43"/>
      <c r="U77" s="43"/>
      <c r="V77" s="43"/>
      <c r="W77" s="43"/>
      <c r="X77" s="43"/>
      <c r="Y77" s="43"/>
      <c r="Z77" s="43"/>
      <c r="AA77" s="43"/>
      <c r="AB77" s="43"/>
      <c r="AC77" s="43"/>
      <c r="AD77" s="43"/>
      <c r="AE77" s="48"/>
      <c r="AF77" s="48"/>
      <c r="AG77" s="48"/>
      <c r="AH77" s="50"/>
    </row>
    <row r="78" spans="1:38" ht="14.5">
      <c r="A78" s="40">
        <v>2009</v>
      </c>
      <c r="B78" s="41" t="s">
        <v>347</v>
      </c>
      <c r="C78" s="41" t="s">
        <v>348</v>
      </c>
      <c r="D78" s="41" t="s">
        <v>105</v>
      </c>
      <c r="E78" s="40">
        <v>11</v>
      </c>
      <c r="H78" s="43"/>
      <c r="I78" s="117"/>
      <c r="J78" s="43"/>
      <c r="K78" s="44"/>
      <c r="L78" s="45"/>
      <c r="M78" s="43"/>
      <c r="N78" s="46"/>
      <c r="O78" s="46"/>
      <c r="P78" s="45"/>
      <c r="Q78" s="45"/>
      <c r="R78" s="45"/>
      <c r="S78" s="43"/>
      <c r="T78" s="43"/>
      <c r="U78" s="43"/>
      <c r="V78" s="43"/>
      <c r="W78" s="43"/>
      <c r="X78" s="43"/>
      <c r="Y78" s="43"/>
      <c r="Z78" s="43"/>
      <c r="AA78" s="43"/>
      <c r="AB78" s="43"/>
      <c r="AC78" s="43"/>
      <c r="AD78" s="43"/>
      <c r="AE78" s="48"/>
      <c r="AF78" s="48"/>
      <c r="AG78" s="48"/>
      <c r="AH78" s="50"/>
    </row>
    <row r="79" spans="1:38" ht="14.5">
      <c r="A79" s="40">
        <v>2010</v>
      </c>
      <c r="B79" s="41" t="s">
        <v>347</v>
      </c>
      <c r="C79" s="41" t="s">
        <v>348</v>
      </c>
      <c r="D79" s="41" t="s">
        <v>105</v>
      </c>
      <c r="E79" s="40">
        <v>11</v>
      </c>
      <c r="H79" s="43"/>
      <c r="I79" s="117"/>
      <c r="J79" s="43"/>
      <c r="K79" s="44"/>
      <c r="L79" s="45"/>
      <c r="M79" s="43"/>
      <c r="N79" s="46"/>
      <c r="O79" s="46"/>
      <c r="P79" s="45"/>
      <c r="Q79" s="45"/>
      <c r="R79" s="45"/>
      <c r="S79" s="43"/>
      <c r="T79" s="43"/>
      <c r="U79" s="43"/>
      <c r="V79" s="43"/>
      <c r="W79" s="43"/>
      <c r="X79" s="43"/>
      <c r="Y79" s="43"/>
      <c r="Z79" s="43"/>
      <c r="AA79" s="43"/>
      <c r="AB79" s="43"/>
      <c r="AC79" s="43"/>
      <c r="AD79" s="43"/>
      <c r="AE79" s="48"/>
      <c r="AF79" s="48"/>
      <c r="AG79" s="48"/>
      <c r="AH79" s="50"/>
    </row>
    <row r="80" spans="1:38" ht="14.5">
      <c r="A80" s="40">
        <v>2011</v>
      </c>
      <c r="B80" s="41" t="s">
        <v>347</v>
      </c>
      <c r="C80" s="41" t="s">
        <v>348</v>
      </c>
      <c r="D80" s="41" t="s">
        <v>105</v>
      </c>
      <c r="E80" s="40">
        <v>11</v>
      </c>
      <c r="H80" s="43"/>
      <c r="I80" s="117"/>
      <c r="J80" s="43"/>
      <c r="K80" s="44"/>
      <c r="L80" s="45"/>
      <c r="M80" s="43"/>
      <c r="N80" s="46"/>
      <c r="O80" s="46"/>
      <c r="P80" s="45"/>
      <c r="Q80" s="45"/>
      <c r="R80" s="45"/>
      <c r="S80" s="43"/>
      <c r="T80" s="43"/>
      <c r="U80" s="43"/>
      <c r="V80" s="43"/>
      <c r="W80" s="43"/>
      <c r="X80" s="43"/>
      <c r="Y80" s="43"/>
      <c r="Z80" s="43"/>
      <c r="AA80" s="43"/>
      <c r="AB80" s="43"/>
      <c r="AC80" s="43"/>
      <c r="AD80" s="43"/>
      <c r="AE80" s="48"/>
      <c r="AF80" s="48"/>
      <c r="AG80" s="48"/>
      <c r="AH80" s="50"/>
    </row>
    <row r="81" spans="1:34" ht="14.5">
      <c r="A81" s="40">
        <v>2012</v>
      </c>
      <c r="B81" s="41" t="s">
        <v>347</v>
      </c>
      <c r="C81" s="41" t="s">
        <v>348</v>
      </c>
      <c r="D81" s="41" t="s">
        <v>105</v>
      </c>
      <c r="E81" s="40">
        <v>11</v>
      </c>
      <c r="H81" s="43"/>
      <c r="I81" s="117"/>
      <c r="J81" s="43"/>
      <c r="K81" s="44"/>
      <c r="L81" s="45"/>
      <c r="M81" s="43"/>
      <c r="N81" s="46"/>
      <c r="O81" s="46"/>
      <c r="P81" s="45"/>
      <c r="Q81" s="45"/>
      <c r="R81" s="45"/>
      <c r="S81" s="43"/>
      <c r="T81" s="43"/>
      <c r="U81" s="43"/>
      <c r="V81" s="43"/>
      <c r="W81" s="43"/>
      <c r="X81" s="43"/>
      <c r="Y81" s="43"/>
      <c r="Z81" s="43"/>
      <c r="AA81" s="43"/>
      <c r="AB81" s="43"/>
      <c r="AC81" s="43"/>
      <c r="AD81" s="43"/>
      <c r="AE81" s="48"/>
      <c r="AF81" s="48"/>
      <c r="AG81" s="48"/>
      <c r="AH81" s="50"/>
    </row>
    <row r="82" spans="1:34" ht="14.5">
      <c r="A82" s="40">
        <v>2013</v>
      </c>
      <c r="B82" s="41" t="s">
        <v>347</v>
      </c>
      <c r="C82" s="41" t="s">
        <v>348</v>
      </c>
      <c r="D82" s="41" t="s">
        <v>105</v>
      </c>
      <c r="E82" s="40">
        <v>11</v>
      </c>
      <c r="H82" s="43"/>
      <c r="I82" s="117"/>
      <c r="J82" s="43"/>
      <c r="K82" s="44"/>
      <c r="L82" s="45"/>
      <c r="M82" s="43"/>
      <c r="N82" s="46"/>
      <c r="O82" s="46"/>
      <c r="P82" s="45"/>
      <c r="Q82" s="45"/>
      <c r="R82" s="45"/>
      <c r="S82" s="43"/>
      <c r="T82" s="43"/>
      <c r="U82" s="43"/>
      <c r="V82" s="43"/>
      <c r="W82" s="43"/>
      <c r="X82" s="43"/>
      <c r="Y82" s="43"/>
      <c r="Z82" s="43"/>
      <c r="AA82" s="43"/>
      <c r="AB82" s="43"/>
      <c r="AC82" s="43"/>
      <c r="AD82" s="43"/>
      <c r="AE82" s="48"/>
      <c r="AF82" s="48"/>
      <c r="AG82" s="48"/>
      <c r="AH82" s="50"/>
    </row>
    <row r="83" spans="1:34" ht="14.5">
      <c r="A83" s="40">
        <v>2014</v>
      </c>
      <c r="B83" s="41" t="s">
        <v>347</v>
      </c>
      <c r="C83" s="41" t="s">
        <v>348</v>
      </c>
      <c r="D83" s="41" t="s">
        <v>105</v>
      </c>
      <c r="E83" s="40">
        <v>11</v>
      </c>
      <c r="H83" s="43"/>
      <c r="I83" s="117"/>
      <c r="J83" s="43"/>
      <c r="K83" s="44"/>
      <c r="L83" s="45"/>
      <c r="M83" s="43"/>
      <c r="N83" s="46"/>
      <c r="O83" s="46"/>
      <c r="P83" s="45"/>
      <c r="Q83" s="45"/>
      <c r="R83" s="45"/>
      <c r="S83" s="43"/>
      <c r="T83" s="43"/>
      <c r="U83" s="43"/>
      <c r="V83" s="43"/>
      <c r="W83" s="43"/>
      <c r="X83" s="43"/>
      <c r="Y83" s="43"/>
      <c r="Z83" s="43"/>
      <c r="AA83" s="43"/>
      <c r="AB83" s="43"/>
      <c r="AC83" s="43"/>
      <c r="AD83" s="43"/>
      <c r="AE83" s="48"/>
      <c r="AF83" s="48"/>
      <c r="AG83" s="48"/>
      <c r="AH83" s="50"/>
    </row>
    <row r="84" spans="1:34" ht="14.5">
      <c r="A84" s="40">
        <v>2015</v>
      </c>
      <c r="B84" s="41" t="s">
        <v>347</v>
      </c>
      <c r="C84" s="41" t="s">
        <v>348</v>
      </c>
      <c r="D84" s="41" t="s">
        <v>105</v>
      </c>
      <c r="E84" s="40">
        <v>11</v>
      </c>
      <c r="H84" s="43"/>
      <c r="I84" s="117"/>
      <c r="J84" s="43"/>
      <c r="K84" s="44"/>
      <c r="L84" s="45"/>
      <c r="M84" s="43"/>
      <c r="N84" s="46"/>
      <c r="O84" s="46"/>
      <c r="P84" s="45"/>
      <c r="Q84" s="45"/>
      <c r="R84" s="45"/>
      <c r="S84" s="43"/>
      <c r="T84" s="43"/>
      <c r="U84" s="43"/>
      <c r="V84" s="43"/>
      <c r="W84" s="43"/>
      <c r="X84" s="43"/>
      <c r="Y84" s="43"/>
      <c r="Z84" s="43"/>
      <c r="AA84" s="43"/>
      <c r="AB84" s="43"/>
      <c r="AC84" s="43"/>
      <c r="AD84" s="43"/>
      <c r="AE84" s="48"/>
      <c r="AF84" s="48"/>
      <c r="AG84" s="48"/>
      <c r="AH84" s="50"/>
    </row>
    <row r="85" spans="1:34" ht="14.5">
      <c r="A85" s="40">
        <v>2016</v>
      </c>
      <c r="B85" s="41" t="s">
        <v>347</v>
      </c>
      <c r="C85" s="41" t="s">
        <v>348</v>
      </c>
      <c r="D85" s="41" t="s">
        <v>105</v>
      </c>
      <c r="E85" s="40">
        <v>11</v>
      </c>
      <c r="H85" s="43"/>
      <c r="I85" s="117"/>
      <c r="J85" s="43"/>
      <c r="K85" s="44"/>
      <c r="L85" s="45"/>
      <c r="M85" s="43"/>
      <c r="N85" s="46"/>
      <c r="O85" s="46"/>
      <c r="P85" s="45"/>
      <c r="Q85" s="45"/>
      <c r="R85" s="45"/>
      <c r="S85" s="43"/>
      <c r="T85" s="43"/>
      <c r="U85" s="43"/>
      <c r="V85" s="43"/>
      <c r="W85" s="43"/>
      <c r="X85" s="43"/>
      <c r="Y85" s="43"/>
      <c r="Z85" s="43"/>
      <c r="AA85" s="43"/>
      <c r="AB85" s="43"/>
      <c r="AC85" s="43"/>
      <c r="AD85" s="43"/>
      <c r="AE85" s="48"/>
      <c r="AF85" s="48"/>
      <c r="AG85" s="48"/>
      <c r="AH85" s="50"/>
    </row>
    <row r="86" spans="1:34" ht="14.5">
      <c r="A86" s="40">
        <v>2017</v>
      </c>
      <c r="B86" s="41" t="s">
        <v>347</v>
      </c>
      <c r="C86" s="41" t="s">
        <v>348</v>
      </c>
      <c r="D86" s="41" t="s">
        <v>105</v>
      </c>
      <c r="E86" s="40">
        <v>11</v>
      </c>
      <c r="H86" s="43"/>
      <c r="I86" s="117"/>
      <c r="J86" s="43"/>
      <c r="K86" s="44"/>
      <c r="L86" s="45"/>
      <c r="M86" s="43"/>
      <c r="N86" s="46"/>
      <c r="O86" s="46"/>
      <c r="P86" s="45"/>
      <c r="Q86" s="45"/>
      <c r="R86" s="45"/>
      <c r="S86" s="43"/>
      <c r="T86" s="43"/>
      <c r="U86" s="43"/>
      <c r="V86" s="43"/>
      <c r="W86" s="43"/>
      <c r="X86" s="43"/>
      <c r="Y86" s="43"/>
      <c r="Z86" s="43"/>
      <c r="AA86" s="43"/>
      <c r="AB86" s="43"/>
      <c r="AC86" s="43"/>
      <c r="AD86" s="43"/>
      <c r="AE86" s="48"/>
      <c r="AF86" s="48"/>
      <c r="AG86" s="48"/>
      <c r="AH86" s="50"/>
    </row>
    <row r="87" spans="1:34" ht="14.5">
      <c r="A87" s="40">
        <v>2004</v>
      </c>
      <c r="B87" s="41" t="s">
        <v>356</v>
      </c>
      <c r="C87" s="41" t="s">
        <v>357</v>
      </c>
      <c r="D87" s="41" t="s">
        <v>105</v>
      </c>
      <c r="E87" s="40">
        <v>12</v>
      </c>
      <c r="H87" s="43"/>
      <c r="I87" s="117"/>
      <c r="J87" s="43"/>
      <c r="K87" s="44"/>
      <c r="L87" s="45"/>
      <c r="M87" s="43"/>
      <c r="N87" s="46"/>
      <c r="O87" s="46"/>
      <c r="P87" s="45"/>
      <c r="Q87" s="45"/>
      <c r="R87" s="45"/>
      <c r="S87" s="43"/>
      <c r="T87" s="43"/>
      <c r="U87" s="43"/>
      <c r="V87" s="43"/>
      <c r="W87" s="43"/>
      <c r="X87" s="43"/>
      <c r="Y87" s="43"/>
      <c r="Z87" s="43"/>
      <c r="AA87" s="43"/>
      <c r="AB87" s="43"/>
      <c r="AC87" s="43"/>
      <c r="AD87" s="43"/>
      <c r="AE87" s="48"/>
      <c r="AF87" s="48"/>
      <c r="AG87" s="48"/>
      <c r="AH87" s="50"/>
    </row>
    <row r="88" spans="1:34" ht="14.5">
      <c r="A88" s="40">
        <v>2005</v>
      </c>
      <c r="B88" s="41" t="s">
        <v>356</v>
      </c>
      <c r="C88" s="41" t="s">
        <v>357</v>
      </c>
      <c r="D88" s="41" t="s">
        <v>105</v>
      </c>
      <c r="E88" s="40">
        <v>12</v>
      </c>
      <c r="H88" s="43"/>
      <c r="I88" s="117"/>
      <c r="J88" s="43"/>
      <c r="K88" s="44"/>
      <c r="L88" s="45"/>
      <c r="M88" s="43"/>
      <c r="N88" s="46"/>
      <c r="O88" s="46"/>
      <c r="P88" s="45"/>
      <c r="Q88" s="45"/>
      <c r="R88" s="45"/>
      <c r="S88" s="43"/>
      <c r="T88" s="43"/>
      <c r="U88" s="43"/>
      <c r="V88" s="43"/>
      <c r="W88" s="43"/>
      <c r="X88" s="43"/>
      <c r="Y88" s="43"/>
      <c r="Z88" s="43"/>
      <c r="AA88" s="43"/>
      <c r="AB88" s="43"/>
      <c r="AC88" s="43"/>
      <c r="AD88" s="43"/>
      <c r="AE88" s="48"/>
      <c r="AF88" s="48"/>
      <c r="AG88" s="48"/>
      <c r="AH88" s="50"/>
    </row>
    <row r="89" spans="1:34" ht="14.5">
      <c r="A89" s="40">
        <v>2006</v>
      </c>
      <c r="B89" s="41" t="s">
        <v>356</v>
      </c>
      <c r="C89" s="41" t="s">
        <v>357</v>
      </c>
      <c r="D89" s="41" t="s">
        <v>105</v>
      </c>
      <c r="E89" s="40">
        <v>12</v>
      </c>
      <c r="H89" s="43"/>
      <c r="I89" s="117"/>
      <c r="J89" s="43"/>
      <c r="K89" s="44"/>
      <c r="L89" s="45"/>
      <c r="M89" s="43"/>
      <c r="N89" s="46"/>
      <c r="O89" s="46"/>
      <c r="P89" s="45"/>
      <c r="Q89" s="45"/>
      <c r="R89" s="45"/>
      <c r="S89" s="43"/>
      <c r="T89" s="43"/>
      <c r="U89" s="43"/>
      <c r="V89" s="43"/>
      <c r="W89" s="43"/>
      <c r="X89" s="43"/>
      <c r="Y89" s="43"/>
      <c r="Z89" s="43"/>
      <c r="AA89" s="43"/>
      <c r="AB89" s="43"/>
      <c r="AC89" s="43"/>
      <c r="AD89" s="43"/>
      <c r="AE89" s="48"/>
      <c r="AF89" s="48"/>
      <c r="AG89" s="48"/>
      <c r="AH89" s="50"/>
    </row>
    <row r="90" spans="1:34" ht="14.5">
      <c r="A90" s="40">
        <v>2007</v>
      </c>
      <c r="B90" s="41" t="s">
        <v>356</v>
      </c>
      <c r="C90" s="41" t="s">
        <v>357</v>
      </c>
      <c r="D90" s="41" t="s">
        <v>105</v>
      </c>
      <c r="E90" s="40">
        <v>12</v>
      </c>
      <c r="H90" s="43"/>
      <c r="I90" s="117"/>
      <c r="J90" s="43"/>
      <c r="K90" s="44"/>
      <c r="L90" s="45"/>
      <c r="M90" s="43"/>
      <c r="N90" s="46"/>
      <c r="O90" s="46"/>
      <c r="P90" s="45"/>
      <c r="Q90" s="45"/>
      <c r="R90" s="45"/>
      <c r="S90" s="43"/>
      <c r="T90" s="43"/>
      <c r="U90" s="43"/>
      <c r="V90" s="43"/>
      <c r="W90" s="43"/>
      <c r="X90" s="43"/>
      <c r="Y90" s="43"/>
      <c r="Z90" s="43"/>
      <c r="AA90" s="43"/>
      <c r="AB90" s="43"/>
      <c r="AC90" s="43"/>
      <c r="AD90" s="43"/>
      <c r="AE90" s="48"/>
      <c r="AF90" s="48"/>
      <c r="AG90" s="48"/>
      <c r="AH90" s="50"/>
    </row>
    <row r="91" spans="1:34" ht="14.5">
      <c r="A91" s="40">
        <v>2008</v>
      </c>
      <c r="B91" s="41" t="s">
        <v>356</v>
      </c>
      <c r="C91" s="41" t="s">
        <v>357</v>
      </c>
      <c r="D91" s="41" t="s">
        <v>105</v>
      </c>
      <c r="E91" s="40">
        <v>12</v>
      </c>
      <c r="H91" s="43"/>
      <c r="I91" s="117"/>
      <c r="J91" s="43"/>
      <c r="K91" s="44"/>
      <c r="L91" s="45"/>
      <c r="M91" s="43"/>
      <c r="N91" s="46"/>
      <c r="O91" s="46"/>
      <c r="P91" s="45"/>
      <c r="Q91" s="45"/>
      <c r="R91" s="45"/>
      <c r="S91" s="43"/>
      <c r="T91" s="43"/>
      <c r="U91" s="43"/>
      <c r="V91" s="43"/>
      <c r="W91" s="43"/>
      <c r="X91" s="43"/>
      <c r="Y91" s="43"/>
      <c r="Z91" s="43"/>
      <c r="AA91" s="43"/>
      <c r="AB91" s="43"/>
      <c r="AC91" s="43"/>
      <c r="AD91" s="43"/>
      <c r="AE91" s="48"/>
      <c r="AF91" s="48"/>
      <c r="AG91" s="48"/>
      <c r="AH91" s="50"/>
    </row>
    <row r="92" spans="1:34" ht="14.5">
      <c r="A92" s="40">
        <v>2009</v>
      </c>
      <c r="B92" s="41" t="s">
        <v>356</v>
      </c>
      <c r="C92" s="41" t="s">
        <v>357</v>
      </c>
      <c r="D92" s="41" t="s">
        <v>105</v>
      </c>
      <c r="E92" s="40">
        <v>12</v>
      </c>
      <c r="H92" s="43"/>
      <c r="I92" s="117"/>
      <c r="J92" s="43"/>
      <c r="K92" s="44"/>
      <c r="L92" s="45"/>
      <c r="M92" s="43"/>
      <c r="N92" s="46"/>
      <c r="O92" s="46"/>
      <c r="P92" s="45"/>
      <c r="Q92" s="45"/>
      <c r="R92" s="45"/>
      <c r="S92" s="43"/>
      <c r="T92" s="43"/>
      <c r="U92" s="43"/>
      <c r="V92" s="43"/>
      <c r="W92" s="43"/>
      <c r="X92" s="43"/>
      <c r="Y92" s="43"/>
      <c r="Z92" s="43"/>
      <c r="AA92" s="43"/>
      <c r="AB92" s="43"/>
      <c r="AC92" s="43"/>
      <c r="AD92" s="43"/>
      <c r="AE92" s="48"/>
      <c r="AF92" s="48"/>
      <c r="AG92" s="48"/>
      <c r="AH92" s="50"/>
    </row>
    <row r="93" spans="1:34" ht="14.5">
      <c r="A93" s="40">
        <v>2010</v>
      </c>
      <c r="B93" s="41" t="s">
        <v>356</v>
      </c>
      <c r="C93" s="41" t="s">
        <v>357</v>
      </c>
      <c r="D93" s="41" t="s">
        <v>105</v>
      </c>
      <c r="E93" s="40">
        <v>12</v>
      </c>
      <c r="H93" s="43"/>
      <c r="I93" s="117"/>
      <c r="J93" s="43"/>
      <c r="K93" s="44"/>
      <c r="L93" s="45"/>
      <c r="M93" s="43"/>
      <c r="N93" s="46"/>
      <c r="O93" s="46"/>
      <c r="P93" s="45"/>
      <c r="Q93" s="45"/>
      <c r="R93" s="45"/>
      <c r="S93" s="43"/>
      <c r="T93" s="43"/>
      <c r="U93" s="43"/>
      <c r="V93" s="43"/>
      <c r="W93" s="43"/>
      <c r="X93" s="43"/>
      <c r="Y93" s="43"/>
      <c r="Z93" s="43"/>
      <c r="AA93" s="43"/>
      <c r="AB93" s="43"/>
      <c r="AC93" s="43"/>
      <c r="AD93" s="43"/>
      <c r="AE93" s="48"/>
      <c r="AF93" s="48"/>
      <c r="AG93" s="48"/>
      <c r="AH93" s="50"/>
    </row>
    <row r="94" spans="1:34" ht="14.5">
      <c r="A94" s="40">
        <v>2011</v>
      </c>
      <c r="B94" s="41" t="s">
        <v>356</v>
      </c>
      <c r="C94" s="41" t="s">
        <v>357</v>
      </c>
      <c r="D94" s="41" t="s">
        <v>105</v>
      </c>
      <c r="E94" s="40">
        <v>12</v>
      </c>
      <c r="H94" s="43"/>
      <c r="I94" s="117"/>
      <c r="J94" s="43"/>
      <c r="K94" s="44"/>
      <c r="L94" s="45"/>
      <c r="M94" s="43"/>
      <c r="N94" s="46"/>
      <c r="O94" s="46"/>
      <c r="P94" s="45"/>
      <c r="Q94" s="45"/>
      <c r="R94" s="45"/>
      <c r="S94" s="43"/>
      <c r="T94" s="43"/>
      <c r="U94" s="43"/>
      <c r="V94" s="43"/>
      <c r="W94" s="43"/>
      <c r="X94" s="43"/>
      <c r="Y94" s="43"/>
      <c r="Z94" s="43"/>
      <c r="AA94" s="43"/>
      <c r="AB94" s="43"/>
      <c r="AC94" s="43"/>
      <c r="AD94" s="43"/>
      <c r="AE94" s="48"/>
      <c r="AF94" s="48"/>
      <c r="AG94" s="48"/>
      <c r="AH94" s="50"/>
    </row>
    <row r="95" spans="1:34" ht="14.5">
      <c r="A95" s="40">
        <v>2012</v>
      </c>
      <c r="B95" s="41" t="s">
        <v>356</v>
      </c>
      <c r="C95" s="41" t="s">
        <v>357</v>
      </c>
      <c r="D95" s="41" t="s">
        <v>105</v>
      </c>
      <c r="E95" s="40">
        <v>12</v>
      </c>
      <c r="H95" s="43"/>
      <c r="I95" s="117"/>
      <c r="J95" s="43"/>
      <c r="K95" s="44"/>
      <c r="L95" s="45"/>
      <c r="M95" s="43"/>
      <c r="N95" s="46"/>
      <c r="O95" s="46"/>
      <c r="P95" s="45"/>
      <c r="Q95" s="45"/>
      <c r="R95" s="45"/>
      <c r="S95" s="43"/>
      <c r="T95" s="43"/>
      <c r="U95" s="43"/>
      <c r="V95" s="43"/>
      <c r="W95" s="43"/>
      <c r="X95" s="43"/>
      <c r="Y95" s="43"/>
      <c r="Z95" s="43"/>
      <c r="AA95" s="43"/>
      <c r="AB95" s="43"/>
      <c r="AC95" s="43"/>
      <c r="AD95" s="43"/>
      <c r="AE95" s="48"/>
      <c r="AF95" s="48"/>
      <c r="AG95" s="48"/>
      <c r="AH95" s="50"/>
    </row>
    <row r="96" spans="1:34" ht="14.5">
      <c r="A96" s="40">
        <v>2013</v>
      </c>
      <c r="B96" s="41" t="s">
        <v>356</v>
      </c>
      <c r="C96" s="41" t="s">
        <v>357</v>
      </c>
      <c r="D96" s="41" t="s">
        <v>105</v>
      </c>
      <c r="E96" s="40">
        <v>12</v>
      </c>
      <c r="H96" s="43"/>
      <c r="I96" s="117"/>
      <c r="J96" s="43"/>
      <c r="K96" s="44"/>
      <c r="L96" s="45"/>
      <c r="M96" s="43"/>
      <c r="N96" s="46"/>
      <c r="O96" s="46"/>
      <c r="P96" s="45"/>
      <c r="Q96" s="45"/>
      <c r="R96" s="45"/>
      <c r="S96" s="43"/>
      <c r="T96" s="43"/>
      <c r="U96" s="43"/>
      <c r="V96" s="43"/>
      <c r="W96" s="43"/>
      <c r="X96" s="43"/>
      <c r="Y96" s="43"/>
      <c r="Z96" s="43"/>
      <c r="AA96" s="43"/>
      <c r="AB96" s="43"/>
      <c r="AC96" s="43"/>
      <c r="AD96" s="43"/>
      <c r="AE96" s="48"/>
      <c r="AF96" s="48"/>
      <c r="AG96" s="48"/>
      <c r="AH96" s="50"/>
    </row>
    <row r="97" spans="1:34" ht="14.5">
      <c r="A97" s="40">
        <v>2014</v>
      </c>
      <c r="B97" s="41" t="s">
        <v>356</v>
      </c>
      <c r="C97" s="41" t="s">
        <v>357</v>
      </c>
      <c r="D97" s="41" t="s">
        <v>105</v>
      </c>
      <c r="E97" s="40">
        <v>12</v>
      </c>
      <c r="H97" s="43"/>
      <c r="I97" s="117"/>
      <c r="J97" s="43"/>
      <c r="K97" s="44"/>
      <c r="L97" s="45"/>
      <c r="M97" s="43"/>
      <c r="N97" s="46"/>
      <c r="O97" s="46"/>
      <c r="P97" s="45"/>
      <c r="Q97" s="45"/>
      <c r="R97" s="45"/>
      <c r="S97" s="43"/>
      <c r="T97" s="43"/>
      <c r="U97" s="43"/>
      <c r="V97" s="43"/>
      <c r="W97" s="43"/>
      <c r="X97" s="43"/>
      <c r="Y97" s="43"/>
      <c r="Z97" s="43"/>
      <c r="AA97" s="43"/>
      <c r="AB97" s="43"/>
      <c r="AC97" s="43"/>
      <c r="AD97" s="43"/>
      <c r="AE97" s="48"/>
      <c r="AF97" s="48"/>
      <c r="AG97" s="48"/>
      <c r="AH97" s="50"/>
    </row>
    <row r="98" spans="1:34" ht="14.5">
      <c r="A98" s="40">
        <v>2015</v>
      </c>
      <c r="B98" s="41" t="s">
        <v>356</v>
      </c>
      <c r="C98" s="41" t="s">
        <v>357</v>
      </c>
      <c r="D98" s="41" t="s">
        <v>105</v>
      </c>
      <c r="E98" s="40">
        <v>12</v>
      </c>
      <c r="H98" s="43"/>
      <c r="I98" s="117"/>
      <c r="J98" s="43"/>
      <c r="K98" s="44"/>
      <c r="L98" s="45"/>
      <c r="M98" s="43"/>
      <c r="N98" s="46"/>
      <c r="O98" s="46"/>
      <c r="P98" s="45"/>
      <c r="Q98" s="45"/>
      <c r="R98" s="45"/>
      <c r="S98" s="43"/>
      <c r="T98" s="43"/>
      <c r="U98" s="43"/>
      <c r="V98" s="43"/>
      <c r="W98" s="43"/>
      <c r="X98" s="43"/>
      <c r="Y98" s="43"/>
      <c r="Z98" s="43"/>
      <c r="AA98" s="43"/>
      <c r="AB98" s="43"/>
      <c r="AC98" s="43"/>
      <c r="AD98" s="43"/>
      <c r="AE98" s="48"/>
      <c r="AF98" s="48"/>
      <c r="AG98" s="48"/>
      <c r="AH98" s="50"/>
    </row>
    <row r="99" spans="1:34" ht="14.5">
      <c r="A99" s="40">
        <v>2016</v>
      </c>
      <c r="B99" s="41" t="s">
        <v>356</v>
      </c>
      <c r="C99" s="41" t="s">
        <v>357</v>
      </c>
      <c r="D99" s="41" t="s">
        <v>105</v>
      </c>
      <c r="E99" s="40">
        <v>12</v>
      </c>
      <c r="H99" s="43"/>
      <c r="I99" s="117"/>
      <c r="J99" s="43"/>
      <c r="K99" s="44"/>
      <c r="L99" s="45"/>
      <c r="M99" s="43"/>
      <c r="N99" s="46"/>
      <c r="O99" s="46"/>
      <c r="P99" s="45"/>
      <c r="Q99" s="45"/>
      <c r="R99" s="45"/>
      <c r="S99" s="43"/>
      <c r="T99" s="43"/>
      <c r="U99" s="43"/>
      <c r="V99" s="43"/>
      <c r="W99" s="43"/>
      <c r="X99" s="43"/>
      <c r="Y99" s="43"/>
      <c r="Z99" s="43"/>
      <c r="AA99" s="43"/>
      <c r="AB99" s="43"/>
      <c r="AC99" s="43"/>
      <c r="AD99" s="43"/>
      <c r="AE99" s="48"/>
      <c r="AF99" s="48"/>
      <c r="AG99" s="48"/>
      <c r="AH99" s="50"/>
    </row>
    <row r="100" spans="1:34" ht="14.5">
      <c r="A100" s="40">
        <v>2017</v>
      </c>
      <c r="B100" s="41" t="s">
        <v>356</v>
      </c>
      <c r="C100" s="41" t="s">
        <v>357</v>
      </c>
      <c r="D100" s="41" t="s">
        <v>105</v>
      </c>
      <c r="E100" s="40">
        <v>12</v>
      </c>
      <c r="H100" s="43"/>
      <c r="I100" s="117"/>
      <c r="J100" s="43"/>
      <c r="K100" s="44"/>
      <c r="L100" s="45"/>
      <c r="M100" s="43"/>
      <c r="N100" s="46"/>
      <c r="O100" s="46"/>
      <c r="P100" s="45"/>
      <c r="Q100" s="45"/>
      <c r="R100" s="45"/>
      <c r="S100" s="43"/>
      <c r="T100" s="43"/>
      <c r="U100" s="43"/>
      <c r="V100" s="43"/>
      <c r="W100" s="43"/>
      <c r="X100" s="43"/>
      <c r="Y100" s="43"/>
      <c r="Z100" s="43"/>
      <c r="AA100" s="43"/>
      <c r="AB100" s="43"/>
      <c r="AC100" s="43"/>
      <c r="AD100" s="43"/>
      <c r="AE100" s="48"/>
      <c r="AF100" s="48"/>
      <c r="AG100" s="48"/>
      <c r="AH100" s="50"/>
    </row>
    <row r="101" spans="1:34" ht="14.5">
      <c r="A101" s="40">
        <v>2004</v>
      </c>
      <c r="B101" s="41" t="s">
        <v>361</v>
      </c>
      <c r="C101" s="41" t="s">
        <v>362</v>
      </c>
      <c r="D101" s="41" t="s">
        <v>363</v>
      </c>
      <c r="E101" s="40">
        <v>12</v>
      </c>
      <c r="H101" s="43"/>
      <c r="I101" s="117"/>
      <c r="J101" s="43"/>
      <c r="K101" s="44"/>
      <c r="L101" s="45"/>
      <c r="M101" s="43"/>
      <c r="N101" s="46"/>
      <c r="O101" s="46"/>
      <c r="P101" s="45"/>
      <c r="Q101" s="45"/>
      <c r="R101" s="45"/>
      <c r="S101" s="43"/>
      <c r="T101" s="43"/>
      <c r="U101" s="43"/>
      <c r="V101" s="43"/>
      <c r="W101" s="43"/>
      <c r="X101" s="43"/>
      <c r="Y101" s="43"/>
      <c r="Z101" s="43"/>
      <c r="AA101" s="43"/>
      <c r="AB101" s="43"/>
      <c r="AC101" s="43"/>
      <c r="AD101" s="43"/>
      <c r="AE101" s="48"/>
      <c r="AF101" s="48"/>
      <c r="AG101" s="48"/>
      <c r="AH101" s="50"/>
    </row>
    <row r="102" spans="1:34" ht="14.5">
      <c r="A102" s="40">
        <v>2005</v>
      </c>
      <c r="B102" s="41" t="s">
        <v>361</v>
      </c>
      <c r="C102" s="41" t="s">
        <v>362</v>
      </c>
      <c r="D102" s="41" t="s">
        <v>363</v>
      </c>
      <c r="E102" s="40">
        <v>12</v>
      </c>
      <c r="H102" s="43"/>
      <c r="I102" s="117"/>
      <c r="J102" s="43"/>
      <c r="K102" s="44"/>
      <c r="L102" s="45"/>
      <c r="M102" s="43"/>
      <c r="N102" s="46"/>
      <c r="O102" s="46"/>
      <c r="P102" s="45"/>
      <c r="Q102" s="45"/>
      <c r="R102" s="45"/>
      <c r="S102" s="43"/>
      <c r="T102" s="43"/>
      <c r="U102" s="43"/>
      <c r="V102" s="43"/>
      <c r="W102" s="43"/>
      <c r="X102" s="43"/>
      <c r="Y102" s="43"/>
      <c r="Z102" s="43"/>
      <c r="AA102" s="43"/>
      <c r="AB102" s="43"/>
      <c r="AC102" s="43"/>
      <c r="AD102" s="43"/>
      <c r="AE102" s="48"/>
      <c r="AF102" s="48"/>
      <c r="AG102" s="48"/>
      <c r="AH102" s="50"/>
    </row>
    <row r="103" spans="1:34" ht="14.5">
      <c r="A103" s="40">
        <v>2006</v>
      </c>
      <c r="B103" s="41" t="s">
        <v>361</v>
      </c>
      <c r="C103" s="41" t="s">
        <v>362</v>
      </c>
      <c r="D103" s="41" t="s">
        <v>363</v>
      </c>
      <c r="E103" s="40">
        <v>12</v>
      </c>
      <c r="H103" s="43"/>
      <c r="I103" s="117"/>
      <c r="J103" s="43"/>
      <c r="K103" s="44"/>
      <c r="L103" s="45"/>
      <c r="M103" s="43"/>
      <c r="N103" s="46"/>
      <c r="O103" s="46"/>
      <c r="P103" s="45"/>
      <c r="Q103" s="45"/>
      <c r="R103" s="45"/>
      <c r="S103" s="43"/>
      <c r="T103" s="43"/>
      <c r="U103" s="43"/>
      <c r="V103" s="43"/>
      <c r="W103" s="43"/>
      <c r="X103" s="43"/>
      <c r="Y103" s="43"/>
      <c r="Z103" s="43"/>
      <c r="AA103" s="43"/>
      <c r="AB103" s="43"/>
      <c r="AC103" s="43"/>
      <c r="AD103" s="43"/>
      <c r="AE103" s="48"/>
      <c r="AF103" s="48"/>
      <c r="AG103" s="48"/>
      <c r="AH103" s="50"/>
    </row>
    <row r="104" spans="1:34" ht="14.5">
      <c r="A104" s="40">
        <v>2007</v>
      </c>
      <c r="B104" s="41" t="s">
        <v>361</v>
      </c>
      <c r="C104" s="41" t="s">
        <v>362</v>
      </c>
      <c r="D104" s="41" t="s">
        <v>363</v>
      </c>
      <c r="E104" s="40">
        <v>12</v>
      </c>
      <c r="H104" s="43"/>
      <c r="I104" s="117"/>
      <c r="J104" s="43"/>
      <c r="K104" s="44"/>
      <c r="L104" s="45"/>
      <c r="M104" s="43"/>
      <c r="N104" s="46"/>
      <c r="O104" s="46"/>
      <c r="P104" s="45"/>
      <c r="Q104" s="45"/>
      <c r="R104" s="45"/>
      <c r="S104" s="43"/>
      <c r="T104" s="43"/>
      <c r="U104" s="43"/>
      <c r="V104" s="43"/>
      <c r="W104" s="43"/>
      <c r="X104" s="43"/>
      <c r="Y104" s="43"/>
      <c r="Z104" s="43"/>
      <c r="AA104" s="43"/>
      <c r="AB104" s="43"/>
      <c r="AC104" s="43"/>
      <c r="AD104" s="43"/>
      <c r="AE104" s="48"/>
      <c r="AF104" s="48"/>
      <c r="AG104" s="48"/>
      <c r="AH104" s="50"/>
    </row>
    <row r="105" spans="1:34" ht="14.5">
      <c r="A105" s="40">
        <v>2008</v>
      </c>
      <c r="B105" s="41" t="s">
        <v>361</v>
      </c>
      <c r="C105" s="41" t="s">
        <v>362</v>
      </c>
      <c r="D105" s="41" t="s">
        <v>363</v>
      </c>
      <c r="E105" s="40">
        <v>12</v>
      </c>
      <c r="H105" s="43"/>
      <c r="I105" s="117"/>
      <c r="J105" s="43"/>
      <c r="K105" s="44"/>
      <c r="L105" s="45"/>
      <c r="M105" s="43"/>
      <c r="N105" s="46"/>
      <c r="O105" s="46"/>
      <c r="P105" s="45"/>
      <c r="Q105" s="45"/>
      <c r="R105" s="45"/>
      <c r="S105" s="43"/>
      <c r="T105" s="43"/>
      <c r="U105" s="43"/>
      <c r="V105" s="43"/>
      <c r="W105" s="43"/>
      <c r="X105" s="43"/>
      <c r="Y105" s="43"/>
      <c r="Z105" s="43"/>
      <c r="AA105" s="43"/>
      <c r="AB105" s="43"/>
      <c r="AC105" s="43"/>
      <c r="AD105" s="43"/>
      <c r="AE105" s="48"/>
      <c r="AF105" s="48"/>
      <c r="AG105" s="48"/>
      <c r="AH105" s="50"/>
    </row>
    <row r="106" spans="1:34" ht="14.5">
      <c r="A106" s="40">
        <v>2009</v>
      </c>
      <c r="B106" s="41" t="s">
        <v>361</v>
      </c>
      <c r="C106" s="41" t="s">
        <v>362</v>
      </c>
      <c r="D106" s="41" t="s">
        <v>363</v>
      </c>
      <c r="E106" s="40">
        <v>12</v>
      </c>
      <c r="H106" s="43"/>
      <c r="I106" s="117"/>
      <c r="J106" s="43"/>
      <c r="K106" s="44"/>
      <c r="L106" s="45"/>
      <c r="M106" s="43"/>
      <c r="N106" s="46"/>
      <c r="O106" s="46"/>
      <c r="P106" s="45"/>
      <c r="Q106" s="45"/>
      <c r="R106" s="45"/>
      <c r="S106" s="43"/>
      <c r="T106" s="43"/>
      <c r="U106" s="43"/>
      <c r="V106" s="43"/>
      <c r="W106" s="43"/>
      <c r="X106" s="43"/>
      <c r="Y106" s="43"/>
      <c r="Z106" s="43"/>
      <c r="AA106" s="43"/>
      <c r="AB106" s="43"/>
      <c r="AC106" s="43"/>
      <c r="AD106" s="43"/>
      <c r="AE106" s="48"/>
      <c r="AF106" s="48"/>
      <c r="AG106" s="48"/>
      <c r="AH106" s="50"/>
    </row>
    <row r="107" spans="1:34" ht="14.5">
      <c r="A107" s="40">
        <v>2010</v>
      </c>
      <c r="B107" s="41" t="s">
        <v>361</v>
      </c>
      <c r="C107" s="41" t="s">
        <v>362</v>
      </c>
      <c r="D107" s="41" t="s">
        <v>363</v>
      </c>
      <c r="E107" s="40">
        <v>12</v>
      </c>
      <c r="H107" s="43"/>
      <c r="I107" s="117"/>
      <c r="J107" s="43"/>
      <c r="K107" s="44"/>
      <c r="L107" s="45"/>
      <c r="M107" s="43"/>
      <c r="N107" s="46"/>
      <c r="O107" s="46"/>
      <c r="P107" s="45"/>
      <c r="Q107" s="45"/>
      <c r="R107" s="45"/>
      <c r="S107" s="43"/>
      <c r="T107" s="43"/>
      <c r="U107" s="43"/>
      <c r="V107" s="43"/>
      <c r="W107" s="43"/>
      <c r="X107" s="43"/>
      <c r="Y107" s="43"/>
      <c r="Z107" s="43"/>
      <c r="AA107" s="43"/>
      <c r="AB107" s="43"/>
      <c r="AC107" s="43"/>
      <c r="AD107" s="43"/>
      <c r="AE107" s="48"/>
      <c r="AF107" s="48"/>
      <c r="AG107" s="48"/>
      <c r="AH107" s="50"/>
    </row>
    <row r="108" spans="1:34" ht="14.5">
      <c r="A108" s="40">
        <v>2011</v>
      </c>
      <c r="B108" s="41" t="s">
        <v>361</v>
      </c>
      <c r="C108" s="41" t="s">
        <v>362</v>
      </c>
      <c r="D108" s="41" t="s">
        <v>363</v>
      </c>
      <c r="E108" s="40">
        <v>12</v>
      </c>
      <c r="H108" s="43"/>
      <c r="I108" s="117"/>
      <c r="J108" s="43"/>
      <c r="K108" s="44"/>
      <c r="L108" s="45"/>
      <c r="M108" s="43"/>
      <c r="N108" s="46"/>
      <c r="O108" s="46"/>
      <c r="P108" s="45"/>
      <c r="Q108" s="45"/>
      <c r="R108" s="45"/>
      <c r="S108" s="43"/>
      <c r="T108" s="43"/>
      <c r="U108" s="43"/>
      <c r="V108" s="43"/>
      <c r="W108" s="43"/>
      <c r="X108" s="43"/>
      <c r="Y108" s="43"/>
      <c r="Z108" s="43"/>
      <c r="AA108" s="43"/>
      <c r="AB108" s="43"/>
      <c r="AC108" s="43"/>
      <c r="AD108" s="43"/>
      <c r="AE108" s="48"/>
      <c r="AF108" s="48"/>
      <c r="AG108" s="48"/>
      <c r="AH108" s="50"/>
    </row>
    <row r="109" spans="1:34" ht="14.5">
      <c r="A109" s="40">
        <v>2012</v>
      </c>
      <c r="B109" s="41" t="s">
        <v>361</v>
      </c>
      <c r="C109" s="41" t="s">
        <v>362</v>
      </c>
      <c r="D109" s="41" t="s">
        <v>363</v>
      </c>
      <c r="E109" s="40">
        <v>12</v>
      </c>
      <c r="H109" s="43"/>
      <c r="I109" s="117"/>
      <c r="J109" s="43"/>
      <c r="K109" s="44"/>
      <c r="L109" s="45"/>
      <c r="M109" s="43"/>
      <c r="N109" s="46"/>
      <c r="O109" s="46"/>
      <c r="P109" s="45"/>
      <c r="Q109" s="45"/>
      <c r="R109" s="45"/>
      <c r="S109" s="43"/>
      <c r="T109" s="43"/>
      <c r="U109" s="43"/>
      <c r="V109" s="43"/>
      <c r="W109" s="43"/>
      <c r="X109" s="43"/>
      <c r="Y109" s="43"/>
      <c r="Z109" s="43"/>
      <c r="AA109" s="43"/>
      <c r="AB109" s="43"/>
      <c r="AC109" s="43"/>
      <c r="AD109" s="43"/>
      <c r="AE109" s="48"/>
      <c r="AF109" s="48"/>
      <c r="AG109" s="48"/>
      <c r="AH109" s="50"/>
    </row>
    <row r="110" spans="1:34" ht="14.5">
      <c r="A110" s="40">
        <v>2013</v>
      </c>
      <c r="B110" s="41" t="s">
        <v>361</v>
      </c>
      <c r="C110" s="41" t="s">
        <v>362</v>
      </c>
      <c r="D110" s="41" t="s">
        <v>363</v>
      </c>
      <c r="E110" s="40">
        <v>12</v>
      </c>
      <c r="H110" s="43"/>
      <c r="I110" s="117"/>
      <c r="J110" s="43"/>
      <c r="K110" s="44"/>
      <c r="L110" s="45"/>
      <c r="M110" s="43"/>
      <c r="N110" s="46"/>
      <c r="O110" s="46"/>
      <c r="P110" s="45"/>
      <c r="Q110" s="45"/>
      <c r="R110" s="45"/>
      <c r="S110" s="43"/>
      <c r="T110" s="43"/>
      <c r="U110" s="43"/>
      <c r="V110" s="43"/>
      <c r="W110" s="43"/>
      <c r="X110" s="43"/>
      <c r="Y110" s="43"/>
      <c r="Z110" s="43"/>
      <c r="AA110" s="43"/>
      <c r="AB110" s="43"/>
      <c r="AC110" s="43"/>
      <c r="AD110" s="43"/>
      <c r="AE110" s="48"/>
      <c r="AF110" s="48"/>
      <c r="AG110" s="48"/>
      <c r="AH110" s="50"/>
    </row>
    <row r="111" spans="1:34" ht="14.5">
      <c r="A111" s="40">
        <v>2014</v>
      </c>
      <c r="B111" s="41" t="s">
        <v>361</v>
      </c>
      <c r="C111" s="41" t="s">
        <v>362</v>
      </c>
      <c r="D111" s="41" t="s">
        <v>363</v>
      </c>
      <c r="E111" s="40">
        <v>12</v>
      </c>
      <c r="H111" s="43"/>
      <c r="I111" s="117"/>
      <c r="J111" s="43"/>
      <c r="K111" s="44"/>
      <c r="L111" s="45"/>
      <c r="M111" s="43"/>
      <c r="N111" s="46"/>
      <c r="O111" s="46"/>
      <c r="P111" s="45"/>
      <c r="Q111" s="45"/>
      <c r="R111" s="45"/>
      <c r="S111" s="43"/>
      <c r="T111" s="43"/>
      <c r="U111" s="43"/>
      <c r="V111" s="43"/>
      <c r="W111" s="43"/>
      <c r="X111" s="43"/>
      <c r="Y111" s="43"/>
      <c r="Z111" s="43"/>
      <c r="AA111" s="43"/>
      <c r="AB111" s="43"/>
      <c r="AC111" s="43"/>
      <c r="AD111" s="43"/>
      <c r="AE111" s="48"/>
      <c r="AF111" s="48"/>
      <c r="AG111" s="48"/>
      <c r="AH111" s="50"/>
    </row>
    <row r="112" spans="1:34" ht="14.5">
      <c r="A112" s="40">
        <v>2015</v>
      </c>
      <c r="B112" s="41" t="s">
        <v>361</v>
      </c>
      <c r="C112" s="41" t="s">
        <v>362</v>
      </c>
      <c r="D112" s="41" t="s">
        <v>105</v>
      </c>
      <c r="E112" s="40">
        <v>12</v>
      </c>
      <c r="H112" s="43"/>
      <c r="I112" s="117"/>
      <c r="J112" s="43"/>
      <c r="K112" s="44"/>
      <c r="L112" s="45"/>
      <c r="M112" s="43"/>
      <c r="N112" s="46"/>
      <c r="O112" s="46"/>
      <c r="P112" s="45"/>
      <c r="Q112" s="45"/>
      <c r="R112" s="45"/>
      <c r="S112" s="43"/>
      <c r="T112" s="43"/>
      <c r="U112" s="43"/>
      <c r="V112" s="43"/>
      <c r="W112" s="43"/>
      <c r="X112" s="43"/>
      <c r="Y112" s="43"/>
      <c r="Z112" s="43"/>
      <c r="AA112" s="43"/>
      <c r="AB112" s="43"/>
      <c r="AC112" s="43"/>
      <c r="AD112" s="43"/>
      <c r="AE112" s="48"/>
      <c r="AF112" s="48"/>
      <c r="AG112" s="48"/>
      <c r="AH112" s="50"/>
    </row>
    <row r="113" spans="1:38" ht="14.5">
      <c r="A113" s="40">
        <v>2016</v>
      </c>
      <c r="B113" s="41" t="s">
        <v>361</v>
      </c>
      <c r="C113" s="41" t="s">
        <v>362</v>
      </c>
      <c r="D113" s="41" t="s">
        <v>105</v>
      </c>
      <c r="E113" s="40">
        <v>12</v>
      </c>
      <c r="H113" s="43"/>
      <c r="I113" s="117"/>
      <c r="J113" s="43"/>
      <c r="K113" s="44"/>
      <c r="L113" s="45"/>
      <c r="M113" s="43"/>
      <c r="N113" s="46"/>
      <c r="O113" s="46"/>
      <c r="P113" s="45"/>
      <c r="Q113" s="45"/>
      <c r="R113" s="45"/>
      <c r="S113" s="43"/>
      <c r="T113" s="43"/>
      <c r="U113" s="43"/>
      <c r="V113" s="43"/>
      <c r="W113" s="43"/>
      <c r="X113" s="43"/>
      <c r="Y113" s="43"/>
      <c r="Z113" s="43"/>
      <c r="AA113" s="43"/>
      <c r="AB113" s="43"/>
      <c r="AC113" s="43"/>
      <c r="AD113" s="43"/>
      <c r="AE113" s="48"/>
      <c r="AF113" s="48"/>
      <c r="AG113" s="48"/>
      <c r="AH113" s="50"/>
    </row>
    <row r="114" spans="1:38" ht="14.5">
      <c r="A114" s="40">
        <v>2017</v>
      </c>
      <c r="B114" s="41" t="s">
        <v>361</v>
      </c>
      <c r="C114" s="41" t="s">
        <v>362</v>
      </c>
      <c r="D114" s="41" t="s">
        <v>105</v>
      </c>
      <c r="E114" s="40">
        <v>12</v>
      </c>
      <c r="H114" s="43"/>
      <c r="I114" s="117"/>
      <c r="J114" s="43"/>
      <c r="K114" s="44"/>
      <c r="L114" s="45"/>
      <c r="M114" s="43"/>
      <c r="N114" s="46"/>
      <c r="O114" s="46"/>
      <c r="P114" s="45"/>
      <c r="Q114" s="45"/>
      <c r="R114" s="45"/>
      <c r="S114" s="43"/>
      <c r="T114" s="43"/>
      <c r="U114" s="43"/>
      <c r="V114" s="43"/>
      <c r="W114" s="43"/>
      <c r="X114" s="43"/>
      <c r="Y114" s="43"/>
      <c r="Z114" s="43"/>
      <c r="AA114" s="43"/>
      <c r="AB114" s="43"/>
      <c r="AC114" s="43"/>
      <c r="AD114" s="43"/>
      <c r="AE114" s="48"/>
      <c r="AF114" s="48"/>
      <c r="AG114" s="48"/>
      <c r="AH114" s="50"/>
    </row>
    <row r="115" spans="1:38" ht="14.5">
      <c r="A115" s="40">
        <v>2004</v>
      </c>
      <c r="B115" s="41" t="s">
        <v>208</v>
      </c>
      <c r="C115" s="41" t="s">
        <v>209</v>
      </c>
      <c r="D115" s="41" t="s">
        <v>105</v>
      </c>
      <c r="E115" s="40">
        <v>11</v>
      </c>
      <c r="H115" s="43"/>
      <c r="I115" s="117"/>
      <c r="J115" s="43"/>
      <c r="K115" s="44"/>
      <c r="L115" s="45"/>
      <c r="M115" s="43"/>
      <c r="N115" s="46"/>
      <c r="O115" s="46"/>
      <c r="P115" s="45"/>
      <c r="Q115" s="45"/>
      <c r="R115" s="45"/>
      <c r="S115" s="43"/>
      <c r="T115" s="43"/>
      <c r="U115" s="43"/>
      <c r="V115" s="43"/>
      <c r="W115" s="43"/>
      <c r="X115" s="43"/>
      <c r="Y115" s="43"/>
      <c r="Z115" s="43"/>
      <c r="AA115" s="43"/>
      <c r="AB115" s="43"/>
      <c r="AC115" s="43"/>
      <c r="AD115" s="43"/>
      <c r="AE115" s="48"/>
      <c r="AF115" s="48"/>
      <c r="AG115" s="48"/>
      <c r="AH115" s="50"/>
    </row>
    <row r="116" spans="1:38" ht="14.5">
      <c r="A116" s="40">
        <v>2005</v>
      </c>
      <c r="B116" s="41" t="s">
        <v>208</v>
      </c>
      <c r="C116" s="41" t="s">
        <v>209</v>
      </c>
      <c r="D116" s="41" t="s">
        <v>105</v>
      </c>
      <c r="E116" s="40">
        <v>11</v>
      </c>
      <c r="H116" s="43"/>
      <c r="I116" s="117"/>
      <c r="J116" s="43"/>
      <c r="K116" s="44"/>
      <c r="L116" s="45"/>
      <c r="M116" s="43"/>
      <c r="N116" s="46"/>
      <c r="O116" s="46"/>
      <c r="P116" s="45"/>
      <c r="Q116" s="45"/>
      <c r="R116" s="45"/>
      <c r="S116" s="43"/>
      <c r="T116" s="43"/>
      <c r="U116" s="43"/>
      <c r="V116" s="43"/>
      <c r="W116" s="43"/>
      <c r="X116" s="43"/>
      <c r="Y116" s="43"/>
      <c r="Z116" s="43"/>
      <c r="AA116" s="43"/>
      <c r="AB116" s="43"/>
      <c r="AC116" s="43"/>
      <c r="AD116" s="43"/>
      <c r="AE116" s="48"/>
      <c r="AF116" s="48"/>
      <c r="AG116" s="48"/>
      <c r="AH116" s="50"/>
    </row>
    <row r="117" spans="1:38" ht="14.5">
      <c r="A117" s="40">
        <v>2006</v>
      </c>
      <c r="B117" s="41" t="s">
        <v>208</v>
      </c>
      <c r="C117" s="41" t="s">
        <v>209</v>
      </c>
      <c r="D117" s="41" t="s">
        <v>105</v>
      </c>
      <c r="E117" s="40">
        <v>11</v>
      </c>
      <c r="H117" s="43"/>
      <c r="I117" s="117"/>
      <c r="J117" s="43"/>
      <c r="K117" s="44"/>
      <c r="L117" s="45"/>
      <c r="M117" s="43"/>
      <c r="N117" s="46"/>
      <c r="O117" s="46"/>
      <c r="P117" s="45"/>
      <c r="Q117" s="45"/>
      <c r="R117" s="45"/>
      <c r="S117" s="43"/>
      <c r="T117" s="43"/>
      <c r="U117" s="43"/>
      <c r="V117" s="43"/>
      <c r="W117" s="43"/>
      <c r="X117" s="43"/>
      <c r="Y117" s="43"/>
      <c r="Z117" s="43"/>
      <c r="AA117" s="43"/>
      <c r="AB117" s="43"/>
      <c r="AC117" s="43"/>
      <c r="AD117" s="43"/>
      <c r="AE117" s="48"/>
      <c r="AF117" s="48"/>
      <c r="AG117" s="48"/>
      <c r="AH117" s="50"/>
    </row>
    <row r="118" spans="1:38" ht="14.5">
      <c r="A118" s="40">
        <v>2007</v>
      </c>
      <c r="B118" s="41" t="s">
        <v>208</v>
      </c>
      <c r="C118" s="41" t="s">
        <v>209</v>
      </c>
      <c r="D118" s="41" t="s">
        <v>105</v>
      </c>
      <c r="E118" s="40">
        <v>11</v>
      </c>
      <c r="H118" s="43"/>
      <c r="I118" s="117"/>
      <c r="J118" s="43"/>
      <c r="K118" s="44"/>
      <c r="L118" s="45"/>
      <c r="M118" s="43"/>
      <c r="N118" s="46"/>
      <c r="O118" s="46"/>
      <c r="P118" s="45"/>
      <c r="Q118" s="45"/>
      <c r="R118" s="45"/>
      <c r="S118" s="43"/>
      <c r="T118" s="43"/>
      <c r="U118" s="43"/>
      <c r="V118" s="43"/>
      <c r="W118" s="43"/>
      <c r="X118" s="43"/>
      <c r="Y118" s="43"/>
      <c r="Z118" s="43"/>
      <c r="AA118" s="43"/>
      <c r="AB118" s="43"/>
      <c r="AC118" s="43"/>
      <c r="AD118" s="43"/>
      <c r="AE118" s="48"/>
      <c r="AF118" s="48"/>
      <c r="AG118" s="48"/>
      <c r="AH118" s="50"/>
    </row>
    <row r="119" spans="1:38" ht="14.5">
      <c r="A119" s="40">
        <v>2008</v>
      </c>
      <c r="B119" s="41" t="s">
        <v>208</v>
      </c>
      <c r="C119" s="41" t="s">
        <v>209</v>
      </c>
      <c r="D119" s="41" t="s">
        <v>105</v>
      </c>
      <c r="E119" s="40">
        <v>11</v>
      </c>
      <c r="H119" s="43"/>
      <c r="I119" s="117"/>
      <c r="J119" s="43"/>
      <c r="K119" s="44"/>
      <c r="L119" s="45"/>
      <c r="M119" s="43"/>
      <c r="N119" s="46"/>
      <c r="O119" s="46"/>
      <c r="P119" s="45"/>
      <c r="Q119" s="45"/>
      <c r="R119" s="45"/>
      <c r="S119" s="43"/>
      <c r="T119" s="43"/>
      <c r="U119" s="43"/>
      <c r="V119" s="43"/>
      <c r="W119" s="43"/>
      <c r="X119" s="43"/>
      <c r="Y119" s="43"/>
      <c r="Z119" s="43"/>
      <c r="AA119" s="43"/>
      <c r="AB119" s="43"/>
      <c r="AC119" s="43"/>
      <c r="AD119" s="43"/>
      <c r="AE119" s="48"/>
      <c r="AF119" s="48"/>
      <c r="AG119" s="48"/>
      <c r="AH119" s="50"/>
    </row>
    <row r="120" spans="1:38" ht="14.5">
      <c r="A120" s="22">
        <v>2009</v>
      </c>
      <c r="B120" s="24" t="s">
        <v>208</v>
      </c>
      <c r="C120" s="24" t="s">
        <v>209</v>
      </c>
      <c r="D120" s="24" t="s">
        <v>105</v>
      </c>
      <c r="E120" s="22">
        <v>11</v>
      </c>
      <c r="F120" s="54" t="s">
        <v>142</v>
      </c>
      <c r="G120" s="120">
        <v>40178</v>
      </c>
      <c r="H120" s="86">
        <v>2421300</v>
      </c>
      <c r="I120" s="59"/>
      <c r="J120" s="84">
        <v>44825351.100000001</v>
      </c>
      <c r="K120" s="87">
        <f t="shared" ref="K120:K128" si="17">J120/H120</f>
        <v>18.512927394374923</v>
      </c>
      <c r="L120" s="88">
        <f>110581593.9567/M120</f>
        <v>9.3137028515707904E-2</v>
      </c>
      <c r="M120" s="57">
        <v>1187300000</v>
      </c>
      <c r="N120" s="64">
        <v>1900000</v>
      </c>
      <c r="O120" s="64">
        <v>1900000</v>
      </c>
      <c r="P120" s="255"/>
      <c r="Q120" s="88">
        <f>1900000/J120</f>
        <v>4.2386728790173377E-2</v>
      </c>
      <c r="R120" s="62">
        <v>0</v>
      </c>
      <c r="S120" s="57">
        <v>1798420</v>
      </c>
      <c r="T120" s="57">
        <f>237573+73334+60000+89819+79319+60000+22560+25000+5000+20000</f>
        <v>672605</v>
      </c>
      <c r="U120" s="57">
        <f>22765+27500+14507+18166+40000+4188513+66270+69250+25710</f>
        <v>4472681</v>
      </c>
      <c r="V120" s="57"/>
      <c r="W120" s="57"/>
      <c r="X120" s="57"/>
      <c r="Y120" s="57">
        <v>734</v>
      </c>
      <c r="Z120" s="74">
        <f t="shared" ref="Z120:Z128" si="18">T120/(Y120*1000000)</f>
        <v>9.1635558583106269E-4</v>
      </c>
      <c r="AA120" s="74">
        <f t="shared" ref="AA120:AA128" si="19">S120/(Y120*1000000)</f>
        <v>2.4501634877384195E-3</v>
      </c>
      <c r="AB120" s="258">
        <v>403</v>
      </c>
      <c r="AC120" s="258">
        <v>295</v>
      </c>
      <c r="AD120" s="57">
        <v>2600000</v>
      </c>
      <c r="AE120" s="64">
        <v>0</v>
      </c>
      <c r="AF120" s="64">
        <v>0</v>
      </c>
      <c r="AG120" s="64">
        <v>0</v>
      </c>
      <c r="AH120" s="76">
        <v>0.15712314583639297</v>
      </c>
      <c r="AI120" s="54">
        <v>1</v>
      </c>
      <c r="AJ120" s="54" t="s">
        <v>372</v>
      </c>
      <c r="AK120" s="78" t="s">
        <v>373</v>
      </c>
      <c r="AL120" s="34"/>
    </row>
    <row r="121" spans="1:38" ht="14.5">
      <c r="A121" s="54">
        <v>2010</v>
      </c>
      <c r="B121" s="24" t="s">
        <v>208</v>
      </c>
      <c r="C121" s="24" t="s">
        <v>209</v>
      </c>
      <c r="D121" s="24" t="s">
        <v>105</v>
      </c>
      <c r="E121" s="22">
        <v>11</v>
      </c>
      <c r="F121" s="54" t="s">
        <v>142</v>
      </c>
      <c r="G121" s="120">
        <v>40543</v>
      </c>
      <c r="H121" s="57">
        <v>2520000</v>
      </c>
      <c r="I121" s="59">
        <f t="shared" ref="I121:I128" si="20">(H121/H120)-1</f>
        <v>4.0763226366001826E-2</v>
      </c>
      <c r="J121" s="84">
        <v>50290433.799999997</v>
      </c>
      <c r="K121" s="87">
        <f t="shared" si="17"/>
        <v>19.956521349206348</v>
      </c>
      <c r="L121" s="88">
        <f>150262464.0376/M121</f>
        <v>0.10163857145400433</v>
      </c>
      <c r="M121" s="57">
        <v>1478400000</v>
      </c>
      <c r="N121" s="64">
        <v>0</v>
      </c>
      <c r="O121" s="64">
        <v>0</v>
      </c>
      <c r="P121" s="255"/>
      <c r="Q121" s="62">
        <v>0</v>
      </c>
      <c r="R121" s="62">
        <v>0</v>
      </c>
      <c r="S121" s="57">
        <v>1901320</v>
      </c>
      <c r="T121" s="57">
        <f>280310+83332+91554+52500+111071+55000+3666+30000+20750+35000</f>
        <v>763183</v>
      </c>
      <c r="U121" s="57">
        <f>22765+31000+18007+21666+43500+4225813+69770+72750+29560</f>
        <v>4534831</v>
      </c>
      <c r="V121" s="57"/>
      <c r="W121" s="57"/>
      <c r="X121" s="57"/>
      <c r="Y121" s="57">
        <v>798</v>
      </c>
      <c r="Z121" s="74">
        <f t="shared" si="18"/>
        <v>9.5636967418546363E-4</v>
      </c>
      <c r="AA121" s="74">
        <f t="shared" si="19"/>
        <v>2.382606516290727E-3</v>
      </c>
      <c r="AB121" s="258">
        <v>447</v>
      </c>
      <c r="AC121" s="258">
        <v>274</v>
      </c>
      <c r="AD121" s="57">
        <v>2700000</v>
      </c>
      <c r="AE121" s="64">
        <v>0</v>
      </c>
      <c r="AF121" s="64">
        <v>0</v>
      </c>
      <c r="AG121" s="64">
        <v>0</v>
      </c>
      <c r="AH121" s="76">
        <v>0.17754302858045157</v>
      </c>
      <c r="AI121" s="54">
        <v>1</v>
      </c>
      <c r="AJ121" s="78" t="s">
        <v>382</v>
      </c>
      <c r="AK121" s="78" t="s">
        <v>389</v>
      </c>
      <c r="AL121" s="34"/>
    </row>
    <row r="122" spans="1:38" ht="14.5">
      <c r="A122" s="22">
        <v>2011</v>
      </c>
      <c r="B122" s="24" t="s">
        <v>208</v>
      </c>
      <c r="C122" s="24" t="s">
        <v>209</v>
      </c>
      <c r="D122" s="24" t="s">
        <v>105</v>
      </c>
      <c r="E122" s="22">
        <v>11</v>
      </c>
      <c r="F122" s="54" t="s">
        <v>142</v>
      </c>
      <c r="G122" s="120">
        <v>40908</v>
      </c>
      <c r="H122" s="57">
        <v>2514700</v>
      </c>
      <c r="I122" s="59">
        <f t="shared" si="20"/>
        <v>-2.1031746031745513E-3</v>
      </c>
      <c r="J122" s="84">
        <v>42770087</v>
      </c>
      <c r="K122" s="87">
        <f t="shared" si="17"/>
        <v>17.008027597725373</v>
      </c>
      <c r="L122" s="88">
        <f>163988109.22/M122</f>
        <v>8.0307595112634675E-2</v>
      </c>
      <c r="M122" s="57">
        <v>2042000000</v>
      </c>
      <c r="N122" s="64">
        <v>0</v>
      </c>
      <c r="O122" s="64">
        <v>0</v>
      </c>
      <c r="P122" s="255"/>
      <c r="Q122" s="62">
        <v>0</v>
      </c>
      <c r="R122" s="62">
        <v>0</v>
      </c>
      <c r="S122" s="54">
        <v>2085000</v>
      </c>
      <c r="T122" s="54">
        <f>338187+96666+93187+56000+72807+60666+11201+38333+27297+39333</f>
        <v>833677</v>
      </c>
      <c r="U122" s="57">
        <f>24715+24500+21507+25166+47000+4229313+73270+76250+41510</f>
        <v>4563231</v>
      </c>
      <c r="V122" s="57"/>
      <c r="W122" s="57"/>
      <c r="X122" s="57"/>
      <c r="Y122" s="57">
        <v>810</v>
      </c>
      <c r="Z122" s="74">
        <f t="shared" si="18"/>
        <v>1.0292308641975309E-3</v>
      </c>
      <c r="AA122" s="74">
        <f t="shared" si="19"/>
        <v>2.5740740740740741E-3</v>
      </c>
      <c r="AB122" s="258">
        <v>534</v>
      </c>
      <c r="AC122" s="150">
        <v>223</v>
      </c>
      <c r="AD122" s="57">
        <v>2600000</v>
      </c>
      <c r="AE122" s="64">
        <v>0</v>
      </c>
      <c r="AF122" s="64">
        <v>0</v>
      </c>
      <c r="AG122" s="64">
        <v>0</v>
      </c>
      <c r="AH122" s="76">
        <v>0.27042148452070125</v>
      </c>
      <c r="AI122" s="54">
        <v>1</v>
      </c>
      <c r="AJ122" s="54" t="s">
        <v>372</v>
      </c>
      <c r="AK122" s="78" t="s">
        <v>392</v>
      </c>
      <c r="AL122" s="34"/>
    </row>
    <row r="123" spans="1:38" ht="14.5">
      <c r="A123" s="22">
        <v>2012</v>
      </c>
      <c r="B123" s="24" t="s">
        <v>208</v>
      </c>
      <c r="C123" s="24" t="s">
        <v>209</v>
      </c>
      <c r="D123" s="24" t="s">
        <v>105</v>
      </c>
      <c r="E123" s="22">
        <v>11</v>
      </c>
      <c r="F123" s="54" t="s">
        <v>142</v>
      </c>
      <c r="G123" s="120">
        <v>41274</v>
      </c>
      <c r="H123" s="57">
        <v>2396200</v>
      </c>
      <c r="I123" s="59">
        <f t="shared" si="20"/>
        <v>-4.7122917246590013E-2</v>
      </c>
      <c r="J123" s="84">
        <v>48406915</v>
      </c>
      <c r="K123" s="87">
        <f t="shared" si="17"/>
        <v>20.201533678324012</v>
      </c>
      <c r="L123" s="88">
        <f>191763400.544/M123</f>
        <v>8.2055370365425762E-2</v>
      </c>
      <c r="M123" s="57">
        <v>2337000000</v>
      </c>
      <c r="N123" s="64">
        <v>0</v>
      </c>
      <c r="O123" s="64">
        <v>0</v>
      </c>
      <c r="P123" s="255"/>
      <c r="Q123" s="62">
        <v>0</v>
      </c>
      <c r="R123" s="62">
        <v>0</v>
      </c>
      <c r="S123" s="54">
        <v>2317108</v>
      </c>
      <c r="T123" s="54">
        <f>384945+93179+102355+42834+32546+28701+22872+32110+33919+23948</f>
        <v>797409</v>
      </c>
      <c r="U123" s="54">
        <f>28215+26700+25007+28666+50500+4232813+76770+79750+3500+45010</f>
        <v>4596931</v>
      </c>
      <c r="V123" s="54"/>
      <c r="W123" s="54"/>
      <c r="X123" s="54"/>
      <c r="Y123" s="54">
        <v>812</v>
      </c>
      <c r="Z123" s="74">
        <f t="shared" si="18"/>
        <v>9.8203078817733986E-4</v>
      </c>
      <c r="AA123" s="74">
        <f t="shared" si="19"/>
        <v>2.8535812807881774E-3</v>
      </c>
      <c r="AB123" s="150">
        <v>638</v>
      </c>
      <c r="AC123" s="150">
        <v>300</v>
      </c>
      <c r="AD123" s="54">
        <v>2675000</v>
      </c>
      <c r="AE123" s="64">
        <v>0</v>
      </c>
      <c r="AF123" s="64">
        <v>0</v>
      </c>
      <c r="AG123" s="64">
        <v>0</v>
      </c>
      <c r="AH123" s="76">
        <v>0.28095676172953077</v>
      </c>
      <c r="AI123" s="54">
        <v>1</v>
      </c>
      <c r="AJ123" s="78" t="s">
        <v>393</v>
      </c>
      <c r="AK123" s="34"/>
      <c r="AL123" s="34"/>
    </row>
    <row r="124" spans="1:38" ht="14.5">
      <c r="A124" s="22">
        <v>2013</v>
      </c>
      <c r="B124" s="24" t="s">
        <v>208</v>
      </c>
      <c r="C124" s="24" t="s">
        <v>209</v>
      </c>
      <c r="D124" s="24" t="s">
        <v>105</v>
      </c>
      <c r="E124" s="22">
        <v>11</v>
      </c>
      <c r="F124" s="54" t="s">
        <v>142</v>
      </c>
      <c r="G124" s="120">
        <v>41639</v>
      </c>
      <c r="H124" s="57">
        <v>2666600</v>
      </c>
      <c r="I124" s="59">
        <f t="shared" si="20"/>
        <v>0.11284533845254985</v>
      </c>
      <c r="J124" s="84">
        <v>53176526</v>
      </c>
      <c r="K124" s="87">
        <f t="shared" si="17"/>
        <v>19.94169579239481</v>
      </c>
      <c r="L124" s="88">
        <f>208143232.844/M124</f>
        <v>0.10454205567252638</v>
      </c>
      <c r="M124" s="57">
        <v>1991000000</v>
      </c>
      <c r="N124" s="64">
        <v>0</v>
      </c>
      <c r="O124" s="64">
        <v>0</v>
      </c>
      <c r="P124" s="255"/>
      <c r="Q124" s="62">
        <v>0</v>
      </c>
      <c r="R124" s="62">
        <v>0</v>
      </c>
      <c r="S124" s="57">
        <v>2372112</v>
      </c>
      <c r="T124" s="57">
        <f>438319+104634+103844+46861+59363+41588+37231+1089+27204</f>
        <v>860133</v>
      </c>
      <c r="U124" s="57">
        <f>32515+28507+32166+52470+4036313+80270+91720+5470+48510</f>
        <v>4407941</v>
      </c>
      <c r="V124" s="57"/>
      <c r="W124" s="57"/>
      <c r="X124" s="57"/>
      <c r="Y124" s="57">
        <v>812</v>
      </c>
      <c r="Z124" s="74">
        <f t="shared" si="18"/>
        <v>1.059277093596059E-3</v>
      </c>
      <c r="AA124" s="74">
        <f t="shared" si="19"/>
        <v>2.9213201970443351E-3</v>
      </c>
      <c r="AB124" s="258">
        <v>677</v>
      </c>
      <c r="AC124" s="258">
        <v>538</v>
      </c>
      <c r="AD124" s="57">
        <v>3075000</v>
      </c>
      <c r="AE124" s="64">
        <v>0</v>
      </c>
      <c r="AF124" s="64">
        <v>0</v>
      </c>
      <c r="AG124" s="64">
        <v>0</v>
      </c>
      <c r="AH124" s="76">
        <v>0.21724979658258747</v>
      </c>
      <c r="AI124" s="54">
        <v>1</v>
      </c>
      <c r="AJ124" s="78" t="s">
        <v>394</v>
      </c>
      <c r="AK124" s="78" t="s">
        <v>395</v>
      </c>
      <c r="AL124" s="34"/>
    </row>
    <row r="125" spans="1:38" ht="14.5">
      <c r="A125" s="22">
        <v>2014</v>
      </c>
      <c r="B125" s="24" t="s">
        <v>208</v>
      </c>
      <c r="C125" s="24" t="s">
        <v>209</v>
      </c>
      <c r="D125" s="24" t="s">
        <v>105</v>
      </c>
      <c r="E125" s="22">
        <v>11</v>
      </c>
      <c r="F125" s="54" t="s">
        <v>142</v>
      </c>
      <c r="G125" s="120">
        <v>42004</v>
      </c>
      <c r="H125" s="57">
        <v>2871200</v>
      </c>
      <c r="I125" s="59">
        <f t="shared" si="20"/>
        <v>7.6726918172954406E-2</v>
      </c>
      <c r="J125" s="84">
        <v>56035926</v>
      </c>
      <c r="K125" s="87">
        <f t="shared" si="17"/>
        <v>19.516552660908332</v>
      </c>
      <c r="L125" s="88">
        <f>213914018.52/M125</f>
        <v>0.10289274580086581</v>
      </c>
      <c r="M125" s="57">
        <v>2079000000</v>
      </c>
      <c r="N125" s="64">
        <v>0</v>
      </c>
      <c r="O125" s="64">
        <v>0</v>
      </c>
      <c r="P125" s="255"/>
      <c r="Q125" s="62">
        <v>0</v>
      </c>
      <c r="R125" s="62">
        <v>0</v>
      </c>
      <c r="S125" s="57">
        <v>2839891</v>
      </c>
      <c r="T125" s="57">
        <f>495466+118874+130323+52302+54044+47768+10711+57661+8571+42799</f>
        <v>1018519</v>
      </c>
      <c r="U125" s="57">
        <f>38446+34438+35312+55651+10931+4042244+147651+11401+54441</f>
        <v>4430515</v>
      </c>
      <c r="V125" s="57"/>
      <c r="W125" s="57"/>
      <c r="X125" s="57"/>
      <c r="Y125" s="57">
        <v>814</v>
      </c>
      <c r="Z125" s="74">
        <f t="shared" si="18"/>
        <v>1.2512518427518428E-3</v>
      </c>
      <c r="AA125" s="74">
        <f t="shared" si="19"/>
        <v>3.4888095823095823E-3</v>
      </c>
      <c r="AB125" s="258">
        <v>661</v>
      </c>
      <c r="AC125" s="258">
        <v>531</v>
      </c>
      <c r="AD125" s="57">
        <v>3450000</v>
      </c>
      <c r="AE125" s="64">
        <v>0</v>
      </c>
      <c r="AF125" s="64">
        <v>0</v>
      </c>
      <c r="AG125" s="64">
        <v>0</v>
      </c>
      <c r="AH125" s="76">
        <v>0.25261932479627469</v>
      </c>
      <c r="AI125" s="54">
        <v>0</v>
      </c>
      <c r="AJ125" s="78" t="s">
        <v>396</v>
      </c>
      <c r="AK125" s="78" t="s">
        <v>397</v>
      </c>
      <c r="AL125" s="54" t="s">
        <v>398</v>
      </c>
    </row>
    <row r="126" spans="1:38" ht="14.5">
      <c r="A126" s="22">
        <v>2015</v>
      </c>
      <c r="B126" s="24" t="s">
        <v>208</v>
      </c>
      <c r="C126" s="24" t="s">
        <v>209</v>
      </c>
      <c r="D126" s="24" t="s">
        <v>105</v>
      </c>
      <c r="E126" s="22">
        <v>11</v>
      </c>
      <c r="F126" s="54" t="s">
        <v>142</v>
      </c>
      <c r="G126" s="120">
        <v>42369</v>
      </c>
      <c r="H126" s="57">
        <v>3464400</v>
      </c>
      <c r="I126" s="59">
        <f t="shared" si="20"/>
        <v>0.20660351072722216</v>
      </c>
      <c r="J126" s="84">
        <v>58051070</v>
      </c>
      <c r="K126" s="87">
        <f t="shared" si="17"/>
        <v>16.75645710656968</v>
      </c>
      <c r="L126" s="88">
        <f>156918865.971/M126</f>
        <v>6.0821265880232553E-2</v>
      </c>
      <c r="M126" s="57">
        <v>2580000000</v>
      </c>
      <c r="N126" s="64">
        <v>0</v>
      </c>
      <c r="O126" s="64">
        <v>0</v>
      </c>
      <c r="P126" s="255"/>
      <c r="Q126" s="62">
        <v>0</v>
      </c>
      <c r="R126" s="62">
        <v>0.63</v>
      </c>
      <c r="S126" s="57">
        <v>3167993</v>
      </c>
      <c r="T126" s="57">
        <f>557927+158752+69689+24683+21364+119006+52184+49851+47037+46228</f>
        <v>1146721</v>
      </c>
      <c r="U126" s="57">
        <f>41912+42504+39253+8066+55651+18997+4050310+192800+15767+52507</f>
        <v>4517767</v>
      </c>
      <c r="V126" s="57"/>
      <c r="W126" s="57"/>
      <c r="X126" s="57"/>
      <c r="Y126" s="57">
        <v>830</v>
      </c>
      <c r="Z126" s="74">
        <f t="shared" si="18"/>
        <v>1.3815915662650602E-3</v>
      </c>
      <c r="AA126" s="74">
        <f t="shared" si="19"/>
        <v>3.8168590361445784E-3</v>
      </c>
      <c r="AB126" s="258">
        <v>684</v>
      </c>
      <c r="AC126" s="258">
        <v>603</v>
      </c>
      <c r="AD126" s="57">
        <v>2950000</v>
      </c>
      <c r="AE126" s="64">
        <v>0</v>
      </c>
      <c r="AF126" s="64">
        <v>0</v>
      </c>
      <c r="AG126" s="64">
        <v>0</v>
      </c>
      <c r="AH126" s="76">
        <v>0.19954285714285713</v>
      </c>
      <c r="AI126" s="54">
        <v>0</v>
      </c>
      <c r="AJ126" s="78" t="s">
        <v>401</v>
      </c>
      <c r="AK126" s="78" t="s">
        <v>402</v>
      </c>
      <c r="AL126" s="34"/>
    </row>
    <row r="127" spans="1:38" ht="14.5">
      <c r="A127" s="22">
        <v>2016</v>
      </c>
      <c r="B127" s="24" t="s">
        <v>208</v>
      </c>
      <c r="C127" s="24" t="s">
        <v>209</v>
      </c>
      <c r="D127" s="24" t="s">
        <v>105</v>
      </c>
      <c r="E127" s="22">
        <v>11</v>
      </c>
      <c r="F127" s="54" t="s">
        <v>142</v>
      </c>
      <c r="G127" s="120">
        <v>42735</v>
      </c>
      <c r="H127" s="86">
        <v>2873000</v>
      </c>
      <c r="I127" s="59">
        <f t="shared" si="20"/>
        <v>-0.17070777046530428</v>
      </c>
      <c r="J127" s="57">
        <v>47271998</v>
      </c>
      <c r="K127" s="87">
        <f t="shared" si="17"/>
        <v>16.453880264531847</v>
      </c>
      <c r="L127" s="88">
        <f>108887823.576/M127</f>
        <v>5.2704658071636011E-2</v>
      </c>
      <c r="M127" s="57">
        <v>2066000000</v>
      </c>
      <c r="N127" s="64">
        <v>0</v>
      </c>
      <c r="O127" s="64">
        <v>0</v>
      </c>
      <c r="P127" s="255"/>
      <c r="Q127" s="62">
        <v>0</v>
      </c>
      <c r="R127" s="62">
        <v>0</v>
      </c>
      <c r="S127" s="57">
        <v>2293251</v>
      </c>
      <c r="T127" s="57">
        <f>50123+44067+86573+41999+5768+298795</f>
        <v>527325</v>
      </c>
      <c r="U127" s="57">
        <f>50654+47319+16132+27063+4058376+200866+19987+60573</f>
        <v>4480970</v>
      </c>
      <c r="V127" s="57"/>
      <c r="W127" s="57"/>
      <c r="X127" s="278" t="s">
        <v>406</v>
      </c>
      <c r="Y127" s="57">
        <v>854</v>
      </c>
      <c r="Z127" s="74">
        <f t="shared" si="18"/>
        <v>6.1747658079625294E-4</v>
      </c>
      <c r="AA127" s="74">
        <f t="shared" si="19"/>
        <v>2.6853056206088992E-3</v>
      </c>
      <c r="AB127" s="258">
        <v>649</v>
      </c>
      <c r="AC127" s="57">
        <v>573</v>
      </c>
      <c r="AD127" s="57">
        <v>2500000</v>
      </c>
      <c r="AE127" s="64">
        <v>0</v>
      </c>
      <c r="AF127" s="64">
        <v>0</v>
      </c>
      <c r="AG127" s="64">
        <v>0</v>
      </c>
      <c r="AH127" s="76">
        <v>0.18490028490028487</v>
      </c>
      <c r="AI127" s="54">
        <v>0</v>
      </c>
      <c r="AJ127" s="78" t="s">
        <v>411</v>
      </c>
      <c r="AK127" s="78" t="s">
        <v>415</v>
      </c>
      <c r="AL127" s="34"/>
    </row>
    <row r="128" spans="1:38" ht="14.5">
      <c r="A128" s="22">
        <v>2017</v>
      </c>
      <c r="B128" s="24" t="s">
        <v>208</v>
      </c>
      <c r="C128" s="24" t="s">
        <v>209</v>
      </c>
      <c r="D128" s="24" t="s">
        <v>105</v>
      </c>
      <c r="E128" s="22">
        <v>11</v>
      </c>
      <c r="F128" s="54" t="s">
        <v>142</v>
      </c>
      <c r="G128" s="120">
        <v>43100</v>
      </c>
      <c r="H128" s="57">
        <v>2600000</v>
      </c>
      <c r="I128" s="59">
        <f t="shared" si="20"/>
        <v>-9.5022624434389136E-2</v>
      </c>
      <c r="J128" s="57">
        <v>45180248</v>
      </c>
      <c r="K128" s="87">
        <f t="shared" si="17"/>
        <v>17.377018461538462</v>
      </c>
      <c r="L128" s="88">
        <f>119665730.61/M128</f>
        <v>6.3348719221810484E-2</v>
      </c>
      <c r="M128" s="57">
        <v>1889000000</v>
      </c>
      <c r="N128" s="64">
        <v>0</v>
      </c>
      <c r="O128" s="64">
        <v>0</v>
      </c>
      <c r="P128" s="255"/>
      <c r="Q128" s="62">
        <v>0</v>
      </c>
      <c r="R128" s="62">
        <v>0</v>
      </c>
      <c r="S128" s="57">
        <v>1455990</v>
      </c>
      <c r="T128" s="57">
        <v>256366</v>
      </c>
      <c r="U128" s="57">
        <f>57676+22804+33735+4065048+33172+204238+30564+67245</f>
        <v>4514482</v>
      </c>
      <c r="V128" s="57"/>
      <c r="W128" s="57"/>
      <c r="X128" s="57"/>
      <c r="Y128" s="57">
        <v>867</v>
      </c>
      <c r="Z128" s="74">
        <f t="shared" si="18"/>
        <v>2.9569319492502884E-4</v>
      </c>
      <c r="AA128" s="74">
        <f t="shared" si="19"/>
        <v>1.6793425605536331E-3</v>
      </c>
      <c r="AB128" s="258">
        <v>794</v>
      </c>
      <c r="AC128" s="57"/>
      <c r="AD128" s="57">
        <v>2500000</v>
      </c>
      <c r="AE128" s="64">
        <v>0</v>
      </c>
      <c r="AF128" s="64">
        <v>0</v>
      </c>
      <c r="AG128" s="64">
        <v>0</v>
      </c>
      <c r="AH128" s="76">
        <v>0.26175869120654394</v>
      </c>
      <c r="AI128" s="54">
        <v>1</v>
      </c>
      <c r="AJ128" s="78" t="s">
        <v>419</v>
      </c>
      <c r="AK128" s="78" t="s">
        <v>421</v>
      </c>
      <c r="AL128" s="34"/>
    </row>
    <row r="129" spans="1:34" ht="14.5">
      <c r="A129" s="93"/>
      <c r="B129" s="41" t="s">
        <v>425</v>
      </c>
      <c r="C129" s="41" t="s">
        <v>426</v>
      </c>
      <c r="D129" s="93"/>
      <c r="E129" s="40">
        <v>11</v>
      </c>
      <c r="H129" s="43"/>
      <c r="I129" s="117"/>
      <c r="J129" s="43"/>
      <c r="K129" s="44"/>
      <c r="L129" s="45"/>
      <c r="M129" s="43"/>
      <c r="N129" s="46"/>
      <c r="O129" s="46"/>
      <c r="P129" s="45"/>
      <c r="Q129" s="45"/>
      <c r="R129" s="45"/>
      <c r="S129" s="43"/>
      <c r="T129" s="43"/>
      <c r="U129" s="43"/>
      <c r="V129" s="43"/>
      <c r="W129" s="43"/>
      <c r="X129" s="43"/>
      <c r="Y129" s="43"/>
      <c r="Z129" s="43"/>
      <c r="AA129" s="43"/>
      <c r="AB129" s="43">
        <f>AVERAGE(AB120:AB128)</f>
        <v>609.66666666666663</v>
      </c>
      <c r="AC129" s="43"/>
      <c r="AD129" s="43"/>
      <c r="AE129" s="48"/>
      <c r="AF129" s="48"/>
      <c r="AG129" s="48"/>
      <c r="AH129" s="50"/>
    </row>
    <row r="130" spans="1:34" ht="14.5">
      <c r="A130" s="93"/>
      <c r="B130" s="41" t="s">
        <v>425</v>
      </c>
      <c r="C130" s="41" t="s">
        <v>426</v>
      </c>
      <c r="D130" s="93"/>
      <c r="E130" s="40">
        <v>11</v>
      </c>
      <c r="H130" s="43"/>
      <c r="I130" s="117"/>
      <c r="J130" s="43"/>
      <c r="K130" s="44"/>
      <c r="L130" s="45"/>
      <c r="M130" s="43"/>
      <c r="N130" s="46"/>
      <c r="O130" s="46"/>
      <c r="P130" s="45"/>
      <c r="Q130" s="45"/>
      <c r="R130" s="45"/>
      <c r="S130" s="43"/>
      <c r="T130" s="43"/>
      <c r="U130" s="43"/>
      <c r="V130" s="43"/>
      <c r="W130" s="43"/>
      <c r="X130" s="43"/>
      <c r="Y130" s="43"/>
      <c r="Z130" s="43"/>
      <c r="AA130" s="43"/>
      <c r="AB130" s="43"/>
      <c r="AC130" s="43"/>
      <c r="AD130" s="43"/>
      <c r="AE130" s="48"/>
      <c r="AF130" s="48"/>
      <c r="AG130" s="48"/>
      <c r="AH130" s="50"/>
    </row>
    <row r="131" spans="1:34" ht="14.5">
      <c r="A131" s="93"/>
      <c r="B131" s="41" t="s">
        <v>425</v>
      </c>
      <c r="C131" s="41" t="s">
        <v>426</v>
      </c>
      <c r="D131" s="93"/>
      <c r="E131" s="40">
        <v>11</v>
      </c>
      <c r="H131" s="43"/>
      <c r="I131" s="117"/>
      <c r="J131" s="43"/>
      <c r="K131" s="44"/>
      <c r="L131" s="45"/>
      <c r="M131" s="43"/>
      <c r="N131" s="46"/>
      <c r="O131" s="46"/>
      <c r="P131" s="45"/>
      <c r="Q131" s="45"/>
      <c r="R131" s="45"/>
      <c r="S131" s="43"/>
      <c r="T131" s="43"/>
      <c r="U131" s="43"/>
      <c r="V131" s="43"/>
      <c r="W131" s="43"/>
      <c r="X131" s="43"/>
      <c r="Y131" s="43"/>
      <c r="Z131" s="43"/>
      <c r="AA131" s="43"/>
      <c r="AB131" s="43"/>
      <c r="AC131" s="43"/>
      <c r="AD131" s="43"/>
      <c r="AE131" s="48"/>
      <c r="AF131" s="48"/>
      <c r="AG131" s="48"/>
      <c r="AH131" s="50"/>
    </row>
    <row r="132" spans="1:34" ht="14.5">
      <c r="A132" s="40">
        <v>2010</v>
      </c>
      <c r="B132" s="41" t="s">
        <v>425</v>
      </c>
      <c r="C132" s="41" t="s">
        <v>426</v>
      </c>
      <c r="D132" s="41" t="s">
        <v>105</v>
      </c>
      <c r="E132" s="40">
        <v>11</v>
      </c>
      <c r="H132" s="43"/>
      <c r="I132" s="117"/>
      <c r="J132" s="43"/>
      <c r="K132" s="44"/>
      <c r="L132" s="45"/>
      <c r="M132" s="43"/>
      <c r="N132" s="46"/>
      <c r="O132" s="46"/>
      <c r="P132" s="45"/>
      <c r="Q132" s="45"/>
      <c r="R132" s="45"/>
      <c r="S132" s="43"/>
      <c r="T132" s="43"/>
      <c r="U132" s="43"/>
      <c r="V132" s="43"/>
      <c r="W132" s="43"/>
      <c r="X132" s="43"/>
      <c r="Y132" s="43"/>
      <c r="Z132" s="43"/>
      <c r="AA132" s="43"/>
      <c r="AB132" s="43"/>
      <c r="AC132" s="43"/>
      <c r="AD132" s="43"/>
      <c r="AE132" s="48"/>
      <c r="AF132" s="48"/>
      <c r="AG132" s="48"/>
      <c r="AH132" s="50"/>
    </row>
    <row r="133" spans="1:34" ht="14.5">
      <c r="A133" s="40">
        <v>2011</v>
      </c>
      <c r="B133" s="41" t="s">
        <v>425</v>
      </c>
      <c r="C133" s="41" t="s">
        <v>426</v>
      </c>
      <c r="D133" s="41" t="s">
        <v>105</v>
      </c>
      <c r="E133" s="40">
        <v>11</v>
      </c>
      <c r="H133" s="43"/>
      <c r="I133" s="117"/>
      <c r="J133" s="43"/>
      <c r="K133" s="44"/>
      <c r="L133" s="45"/>
      <c r="M133" s="43"/>
      <c r="N133" s="46"/>
      <c r="O133" s="46"/>
      <c r="P133" s="45"/>
      <c r="Q133" s="45"/>
      <c r="R133" s="45"/>
      <c r="S133" s="43"/>
      <c r="T133" s="43"/>
      <c r="U133" s="43"/>
      <c r="V133" s="43"/>
      <c r="W133" s="43"/>
      <c r="X133" s="43"/>
      <c r="Y133" s="43"/>
      <c r="Z133" s="43"/>
      <c r="AA133" s="43"/>
      <c r="AB133" s="43"/>
      <c r="AC133" s="43"/>
      <c r="AD133" s="43"/>
      <c r="AE133" s="48"/>
      <c r="AF133" s="48"/>
      <c r="AG133" s="48"/>
      <c r="AH133" s="50"/>
    </row>
    <row r="134" spans="1:34" ht="14.5">
      <c r="A134" s="40">
        <v>2012</v>
      </c>
      <c r="B134" s="41" t="s">
        <v>425</v>
      </c>
      <c r="C134" s="41" t="s">
        <v>426</v>
      </c>
      <c r="D134" s="41" t="s">
        <v>105</v>
      </c>
      <c r="E134" s="40">
        <v>11</v>
      </c>
      <c r="H134" s="43"/>
      <c r="I134" s="117"/>
      <c r="J134" s="43"/>
      <c r="K134" s="44"/>
      <c r="L134" s="45"/>
      <c r="M134" s="43"/>
      <c r="N134" s="46"/>
      <c r="O134" s="46"/>
      <c r="P134" s="45"/>
      <c r="Q134" s="45"/>
      <c r="R134" s="45"/>
      <c r="S134" s="43"/>
      <c r="T134" s="43"/>
      <c r="U134" s="43"/>
      <c r="V134" s="43"/>
      <c r="W134" s="43"/>
      <c r="X134" s="43"/>
      <c r="Y134" s="43"/>
      <c r="Z134" s="43"/>
      <c r="AA134" s="43"/>
      <c r="AB134" s="43"/>
      <c r="AC134" s="43"/>
      <c r="AD134" s="43"/>
      <c r="AE134" s="48"/>
      <c r="AF134" s="48"/>
      <c r="AG134" s="48"/>
      <c r="AH134" s="50"/>
    </row>
    <row r="135" spans="1:34" ht="14.5">
      <c r="A135" s="40">
        <v>2013</v>
      </c>
      <c r="B135" s="41" t="s">
        <v>425</v>
      </c>
      <c r="C135" s="41" t="s">
        <v>426</v>
      </c>
      <c r="D135" s="41" t="s">
        <v>105</v>
      </c>
      <c r="E135" s="40">
        <v>11</v>
      </c>
      <c r="H135" s="43"/>
      <c r="I135" s="117"/>
      <c r="J135" s="43"/>
      <c r="K135" s="44"/>
      <c r="L135" s="45"/>
      <c r="M135" s="43"/>
      <c r="N135" s="46"/>
      <c r="O135" s="46"/>
      <c r="P135" s="45"/>
      <c r="Q135" s="45"/>
      <c r="R135" s="45"/>
      <c r="S135" s="43"/>
      <c r="T135" s="43"/>
      <c r="U135" s="43"/>
      <c r="V135" s="43"/>
      <c r="W135" s="43"/>
      <c r="X135" s="43"/>
      <c r="Y135" s="43"/>
      <c r="Z135" s="43"/>
      <c r="AA135" s="43"/>
      <c r="AB135" s="43"/>
      <c r="AC135" s="43"/>
      <c r="AD135" s="43"/>
      <c r="AE135" s="48"/>
      <c r="AF135" s="48"/>
      <c r="AG135" s="48"/>
      <c r="AH135" s="50"/>
    </row>
    <row r="136" spans="1:34" ht="14.5">
      <c r="A136" s="40">
        <v>2014</v>
      </c>
      <c r="B136" s="41" t="s">
        <v>425</v>
      </c>
      <c r="C136" s="41" t="s">
        <v>426</v>
      </c>
      <c r="D136" s="41" t="s">
        <v>105</v>
      </c>
      <c r="E136" s="40">
        <v>11</v>
      </c>
      <c r="H136" s="43"/>
      <c r="I136" s="117"/>
      <c r="J136" s="43"/>
      <c r="K136" s="44"/>
      <c r="L136" s="45"/>
      <c r="M136" s="43"/>
      <c r="N136" s="46"/>
      <c r="O136" s="46"/>
      <c r="P136" s="45"/>
      <c r="Q136" s="45"/>
      <c r="R136" s="45"/>
      <c r="S136" s="43"/>
      <c r="T136" s="43"/>
      <c r="U136" s="43"/>
      <c r="V136" s="43"/>
      <c r="W136" s="43"/>
      <c r="X136" s="43"/>
      <c r="Y136" s="43"/>
      <c r="Z136" s="43"/>
      <c r="AA136" s="43"/>
      <c r="AB136" s="43"/>
      <c r="AC136" s="43"/>
      <c r="AD136" s="43"/>
      <c r="AE136" s="48"/>
      <c r="AF136" s="48"/>
      <c r="AG136" s="48"/>
      <c r="AH136" s="50"/>
    </row>
    <row r="137" spans="1:34" ht="14.5">
      <c r="A137" s="40">
        <v>2015</v>
      </c>
      <c r="B137" s="41" t="s">
        <v>425</v>
      </c>
      <c r="C137" s="41" t="s">
        <v>426</v>
      </c>
      <c r="D137" s="41" t="s">
        <v>105</v>
      </c>
      <c r="E137" s="40">
        <v>11</v>
      </c>
      <c r="H137" s="43"/>
      <c r="I137" s="117"/>
      <c r="J137" s="43"/>
      <c r="K137" s="44"/>
      <c r="L137" s="45"/>
      <c r="M137" s="43"/>
      <c r="N137" s="46"/>
      <c r="O137" s="46"/>
      <c r="P137" s="45"/>
      <c r="Q137" s="45"/>
      <c r="R137" s="45"/>
      <c r="S137" s="43"/>
      <c r="T137" s="43"/>
      <c r="U137" s="43"/>
      <c r="V137" s="43"/>
      <c r="W137" s="43"/>
      <c r="X137" s="43"/>
      <c r="Y137" s="43"/>
      <c r="Z137" s="43"/>
      <c r="AA137" s="43"/>
      <c r="AB137" s="43"/>
      <c r="AC137" s="43"/>
      <c r="AD137" s="43"/>
      <c r="AE137" s="48"/>
      <c r="AF137" s="48"/>
      <c r="AG137" s="48"/>
      <c r="AH137" s="50"/>
    </row>
    <row r="138" spans="1:34" ht="14.5">
      <c r="A138" s="40">
        <v>2016</v>
      </c>
      <c r="B138" s="41" t="s">
        <v>425</v>
      </c>
      <c r="C138" s="41" t="s">
        <v>426</v>
      </c>
      <c r="D138" s="41" t="s">
        <v>105</v>
      </c>
      <c r="E138" s="40">
        <v>11</v>
      </c>
      <c r="H138" s="43"/>
      <c r="I138" s="117"/>
      <c r="J138" s="43"/>
      <c r="K138" s="44"/>
      <c r="L138" s="45"/>
      <c r="M138" s="43"/>
      <c r="N138" s="46"/>
      <c r="O138" s="46"/>
      <c r="P138" s="45"/>
      <c r="Q138" s="45"/>
      <c r="R138" s="45"/>
      <c r="S138" s="43"/>
      <c r="T138" s="43"/>
      <c r="U138" s="43"/>
      <c r="V138" s="43"/>
      <c r="W138" s="43"/>
      <c r="X138" s="43"/>
      <c r="Y138" s="43"/>
      <c r="Z138" s="43"/>
      <c r="AA138" s="43"/>
      <c r="AB138" s="43"/>
      <c r="AC138" s="43"/>
      <c r="AD138" s="43"/>
      <c r="AE138" s="48"/>
      <c r="AF138" s="48"/>
      <c r="AG138" s="48"/>
      <c r="AH138" s="50"/>
    </row>
    <row r="139" spans="1:34" ht="14.5">
      <c r="A139" s="40">
        <v>2017</v>
      </c>
      <c r="B139" s="41" t="s">
        <v>425</v>
      </c>
      <c r="C139" s="41" t="s">
        <v>426</v>
      </c>
      <c r="D139" s="41" t="s">
        <v>105</v>
      </c>
      <c r="E139" s="40">
        <v>11</v>
      </c>
      <c r="H139" s="43"/>
      <c r="I139" s="117"/>
      <c r="J139" s="43"/>
      <c r="K139" s="44"/>
      <c r="L139" s="45"/>
      <c r="M139" s="43"/>
      <c r="N139" s="46"/>
      <c r="O139" s="46"/>
      <c r="P139" s="45"/>
      <c r="Q139" s="45"/>
      <c r="R139" s="45"/>
      <c r="S139" s="43"/>
      <c r="T139" s="43"/>
      <c r="U139" s="43"/>
      <c r="V139" s="43"/>
      <c r="W139" s="43"/>
      <c r="X139" s="43"/>
      <c r="Y139" s="43"/>
      <c r="Z139" s="43"/>
      <c r="AA139" s="43"/>
      <c r="AB139" s="43"/>
      <c r="AC139" s="43"/>
      <c r="AD139" s="43"/>
      <c r="AE139" s="48"/>
      <c r="AF139" s="48"/>
      <c r="AG139" s="48"/>
      <c r="AH139" s="50"/>
    </row>
    <row r="140" spans="1:34" ht="14.5">
      <c r="A140" s="40">
        <v>2004</v>
      </c>
      <c r="B140" s="41" t="s">
        <v>240</v>
      </c>
      <c r="C140" s="41" t="s">
        <v>241</v>
      </c>
      <c r="D140" s="41" t="s">
        <v>105</v>
      </c>
      <c r="E140" s="40">
        <v>11</v>
      </c>
      <c r="H140" s="43"/>
      <c r="I140" s="117"/>
      <c r="J140" s="43"/>
      <c r="K140" s="44"/>
      <c r="L140" s="45"/>
      <c r="M140" s="43"/>
      <c r="N140" s="46"/>
      <c r="O140" s="46"/>
      <c r="P140" s="45"/>
      <c r="Q140" s="45"/>
      <c r="R140" s="45"/>
      <c r="S140" s="43"/>
      <c r="T140" s="43"/>
      <c r="U140" s="43"/>
      <c r="V140" s="43"/>
      <c r="W140" s="43"/>
      <c r="X140" s="43"/>
      <c r="Y140" s="43"/>
      <c r="Z140" s="43"/>
      <c r="AA140" s="43"/>
      <c r="AB140" s="43"/>
      <c r="AC140" s="43"/>
      <c r="AD140" s="43"/>
      <c r="AE140" s="48"/>
      <c r="AF140" s="48"/>
      <c r="AG140" s="48"/>
      <c r="AH140" s="50"/>
    </row>
    <row r="141" spans="1:34" ht="14.5">
      <c r="A141" s="40">
        <v>2005</v>
      </c>
      <c r="B141" s="41" t="s">
        <v>240</v>
      </c>
      <c r="C141" s="41" t="s">
        <v>241</v>
      </c>
      <c r="D141" s="41" t="s">
        <v>105</v>
      </c>
      <c r="E141" s="40">
        <v>11</v>
      </c>
      <c r="H141" s="43"/>
      <c r="I141" s="117"/>
      <c r="J141" s="43"/>
      <c r="K141" s="44"/>
      <c r="L141" s="45"/>
      <c r="M141" s="43"/>
      <c r="N141" s="46"/>
      <c r="O141" s="46"/>
      <c r="P141" s="45"/>
      <c r="Q141" s="45"/>
      <c r="R141" s="45"/>
      <c r="S141" s="43"/>
      <c r="T141" s="43"/>
      <c r="U141" s="43"/>
      <c r="V141" s="43"/>
      <c r="W141" s="43"/>
      <c r="X141" s="43"/>
      <c r="Y141" s="43"/>
      <c r="Z141" s="43"/>
      <c r="AA141" s="43"/>
      <c r="AB141" s="43"/>
      <c r="AC141" s="43"/>
      <c r="AD141" s="43"/>
      <c r="AE141" s="48"/>
      <c r="AF141" s="48"/>
      <c r="AG141" s="48"/>
      <c r="AH141" s="50"/>
    </row>
    <row r="142" spans="1:34" ht="14.5">
      <c r="A142" s="40">
        <v>2006</v>
      </c>
      <c r="B142" s="41" t="s">
        <v>240</v>
      </c>
      <c r="C142" s="41" t="s">
        <v>241</v>
      </c>
      <c r="D142" s="41" t="s">
        <v>105</v>
      </c>
      <c r="E142" s="40">
        <v>11</v>
      </c>
      <c r="H142" s="43"/>
      <c r="I142" s="117"/>
      <c r="J142" s="43"/>
      <c r="K142" s="44"/>
      <c r="L142" s="45"/>
      <c r="M142" s="43"/>
      <c r="N142" s="46"/>
      <c r="O142" s="46"/>
      <c r="P142" s="45"/>
      <c r="Q142" s="45"/>
      <c r="R142" s="45"/>
      <c r="S142" s="43"/>
      <c r="T142" s="43"/>
      <c r="U142" s="43"/>
      <c r="V142" s="43"/>
      <c r="W142" s="43"/>
      <c r="X142" s="43"/>
      <c r="Y142" s="43"/>
      <c r="Z142" s="43"/>
      <c r="AA142" s="43"/>
      <c r="AB142" s="43"/>
      <c r="AC142" s="43"/>
      <c r="AD142" s="43"/>
      <c r="AE142" s="48"/>
      <c r="AF142" s="48"/>
      <c r="AG142" s="48"/>
      <c r="AH142" s="50"/>
    </row>
    <row r="143" spans="1:34" ht="14.5">
      <c r="A143" s="40">
        <v>2007</v>
      </c>
      <c r="B143" s="41" t="s">
        <v>240</v>
      </c>
      <c r="C143" s="41" t="s">
        <v>241</v>
      </c>
      <c r="D143" s="41" t="s">
        <v>105</v>
      </c>
      <c r="E143" s="40">
        <v>11</v>
      </c>
      <c r="H143" s="43"/>
      <c r="I143" s="117"/>
      <c r="J143" s="43"/>
      <c r="K143" s="44"/>
      <c r="L143" s="45"/>
      <c r="M143" s="43"/>
      <c r="N143" s="46"/>
      <c r="O143" s="46"/>
      <c r="P143" s="45"/>
      <c r="Q143" s="45"/>
      <c r="R143" s="45"/>
      <c r="S143" s="43"/>
      <c r="T143" s="43"/>
      <c r="U143" s="43"/>
      <c r="V143" s="43"/>
      <c r="W143" s="43"/>
      <c r="X143" s="43"/>
      <c r="Y143" s="43"/>
      <c r="Z143" s="43"/>
      <c r="AA143" s="43"/>
      <c r="AB143" s="43"/>
      <c r="AC143" s="43"/>
      <c r="AD143" s="43"/>
      <c r="AE143" s="48"/>
      <c r="AF143" s="48"/>
      <c r="AG143" s="48"/>
      <c r="AH143" s="50"/>
    </row>
    <row r="144" spans="1:34" ht="14.5">
      <c r="A144" s="40">
        <v>2008</v>
      </c>
      <c r="B144" s="41" t="s">
        <v>240</v>
      </c>
      <c r="C144" s="41" t="s">
        <v>241</v>
      </c>
      <c r="D144" s="41" t="s">
        <v>105</v>
      </c>
      <c r="E144" s="40">
        <v>11</v>
      </c>
      <c r="H144" s="43"/>
      <c r="I144" s="117"/>
      <c r="J144" s="43"/>
      <c r="K144" s="44"/>
      <c r="L144" s="45"/>
      <c r="M144" s="43"/>
      <c r="N144" s="46"/>
      <c r="O144" s="46"/>
      <c r="P144" s="45"/>
      <c r="Q144" s="45"/>
      <c r="R144" s="45"/>
      <c r="S144" s="43"/>
      <c r="T144" s="43"/>
      <c r="U144" s="43"/>
      <c r="V144" s="43"/>
      <c r="W144" s="43"/>
      <c r="X144" s="43"/>
      <c r="Y144" s="43"/>
      <c r="Z144" s="43"/>
      <c r="AA144" s="43"/>
      <c r="AB144" s="43"/>
      <c r="AC144" s="43"/>
      <c r="AD144" s="43"/>
      <c r="AE144" s="48"/>
      <c r="AF144" s="48"/>
      <c r="AG144" s="48"/>
      <c r="AH144" s="50"/>
    </row>
    <row r="145" spans="1:38" ht="14.5">
      <c r="A145" s="22">
        <v>2009</v>
      </c>
      <c r="B145" s="24" t="s">
        <v>240</v>
      </c>
      <c r="C145" s="24" t="s">
        <v>241</v>
      </c>
      <c r="D145" s="24" t="s">
        <v>105</v>
      </c>
      <c r="E145" s="22">
        <v>11</v>
      </c>
      <c r="F145" s="54" t="s">
        <v>106</v>
      </c>
      <c r="G145" s="298">
        <v>39994</v>
      </c>
      <c r="H145" s="300">
        <v>3691000</v>
      </c>
      <c r="I145" s="59"/>
      <c r="J145" s="67">
        <v>31817021</v>
      </c>
      <c r="K145" s="87">
        <f t="shared" ref="K145:K153" si="21">J145/H145</f>
        <v>8.6201628285017602</v>
      </c>
      <c r="L145" s="62">
        <f>99746360.835/M145</f>
        <v>4.9908116098769134E-2</v>
      </c>
      <c r="M145" s="300">
        <v>1998600000</v>
      </c>
      <c r="N145" s="302">
        <v>19416645.848000001</v>
      </c>
      <c r="O145" s="302">
        <v>19416645.848000001</v>
      </c>
      <c r="P145" s="304"/>
      <c r="Q145" s="88">
        <v>0.61025970495477877</v>
      </c>
      <c r="R145" s="62">
        <v>0</v>
      </c>
      <c r="S145" s="57">
        <v>1871244</v>
      </c>
      <c r="T145" s="57">
        <v>0</v>
      </c>
      <c r="U145" s="57">
        <v>85612</v>
      </c>
      <c r="V145" s="84"/>
      <c r="W145" s="84"/>
      <c r="X145" s="78" t="s">
        <v>434</v>
      </c>
      <c r="Y145" s="305">
        <v>704.75</v>
      </c>
      <c r="Z145" s="74">
        <f t="shared" ref="Z145:Z153" si="22">T145/(Y145*1000000)</f>
        <v>0</v>
      </c>
      <c r="AA145" s="74">
        <f t="shared" ref="AA145:AA153" si="23">S145/(Y145*1000000)</f>
        <v>2.6551883646683222E-3</v>
      </c>
      <c r="AB145" s="84"/>
      <c r="AC145" s="118">
        <v>516</v>
      </c>
      <c r="AD145" s="84">
        <v>3750000</v>
      </c>
      <c r="AE145" s="57">
        <v>0</v>
      </c>
      <c r="AF145" s="84">
        <v>0</v>
      </c>
      <c r="AG145" s="64">
        <v>0</v>
      </c>
      <c r="AH145" s="157">
        <v>0</v>
      </c>
      <c r="AI145" s="54">
        <v>1</v>
      </c>
      <c r="AJ145" s="34"/>
      <c r="AK145" s="78" t="s">
        <v>438</v>
      </c>
      <c r="AL145" s="34"/>
    </row>
    <row r="146" spans="1:38" ht="14.5">
      <c r="A146" s="22">
        <v>2010</v>
      </c>
      <c r="B146" s="24" t="s">
        <v>240</v>
      </c>
      <c r="C146" s="24" t="s">
        <v>241</v>
      </c>
      <c r="D146" s="24" t="s">
        <v>105</v>
      </c>
      <c r="E146" s="22">
        <v>11</v>
      </c>
      <c r="F146" s="54" t="s">
        <v>106</v>
      </c>
      <c r="G146" s="298">
        <v>40359</v>
      </c>
      <c r="H146" s="57">
        <v>3841000</v>
      </c>
      <c r="I146" s="59"/>
      <c r="J146" s="67">
        <v>33018359</v>
      </c>
      <c r="K146" s="87">
        <f t="shared" si="21"/>
        <v>8.5962923717781834</v>
      </c>
      <c r="L146" s="62">
        <f>98790930.128/M146</f>
        <v>3.8832912786163527E-2</v>
      </c>
      <c r="M146" s="300">
        <v>2544000000</v>
      </c>
      <c r="N146" s="302">
        <v>0</v>
      </c>
      <c r="O146" s="302">
        <v>0</v>
      </c>
      <c r="P146" s="304"/>
      <c r="Q146" s="62">
        <v>0</v>
      </c>
      <c r="R146" s="62">
        <v>0</v>
      </c>
      <c r="S146" s="57">
        <v>915424</v>
      </c>
      <c r="T146" s="57">
        <v>1946</v>
      </c>
      <c r="U146" s="57">
        <v>191367</v>
      </c>
      <c r="V146" s="57"/>
      <c r="W146" s="57"/>
      <c r="X146" s="236" t="s">
        <v>440</v>
      </c>
      <c r="Y146" s="57">
        <v>706</v>
      </c>
      <c r="Z146" s="74">
        <f t="shared" si="22"/>
        <v>2.756373937677054E-6</v>
      </c>
      <c r="AA146" s="74">
        <f t="shared" si="23"/>
        <v>1.2966345609065155E-3</v>
      </c>
      <c r="AB146" s="57"/>
      <c r="AC146" s="57">
        <v>646</v>
      </c>
      <c r="AD146" s="57">
        <v>3650000</v>
      </c>
      <c r="AE146" s="57">
        <v>0</v>
      </c>
      <c r="AF146" s="84">
        <v>0</v>
      </c>
      <c r="AG146" s="64">
        <v>0</v>
      </c>
      <c r="AH146" s="157">
        <v>0.04</v>
      </c>
      <c r="AI146" s="54">
        <v>0</v>
      </c>
      <c r="AJ146" s="78" t="s">
        <v>442</v>
      </c>
      <c r="AK146" s="78" t="s">
        <v>448</v>
      </c>
      <c r="AL146" s="34"/>
    </row>
    <row r="147" spans="1:38" ht="14.5">
      <c r="A147" s="22">
        <v>2011</v>
      </c>
      <c r="B147" s="24" t="s">
        <v>240</v>
      </c>
      <c r="C147" s="24" t="s">
        <v>241</v>
      </c>
      <c r="D147" s="24" t="s">
        <v>105</v>
      </c>
      <c r="E147" s="22">
        <v>11</v>
      </c>
      <c r="F147" s="54" t="s">
        <v>106</v>
      </c>
      <c r="G147" s="298">
        <v>40908</v>
      </c>
      <c r="H147" s="300">
        <v>3697000</v>
      </c>
      <c r="I147" s="59"/>
      <c r="J147" s="84">
        <v>34831236</v>
      </c>
      <c r="K147" s="87">
        <f t="shared" si="21"/>
        <v>9.421486610765486</v>
      </c>
      <c r="L147" s="88">
        <f>133702473.34/M147</f>
        <v>4.5344391690971986E-2</v>
      </c>
      <c r="M147" s="300">
        <v>2948600000</v>
      </c>
      <c r="N147" s="302">
        <v>0</v>
      </c>
      <c r="O147" s="302">
        <v>0</v>
      </c>
      <c r="P147" s="304"/>
      <c r="Q147" s="62">
        <v>0</v>
      </c>
      <c r="R147" s="62">
        <v>0</v>
      </c>
      <c r="S147" s="57">
        <v>311225</v>
      </c>
      <c r="T147" s="57">
        <v>20705</v>
      </c>
      <c r="U147" s="57">
        <v>1000</v>
      </c>
      <c r="V147" s="34"/>
      <c r="W147" s="34"/>
      <c r="X147" s="78" t="s">
        <v>449</v>
      </c>
      <c r="Y147" s="54">
        <v>724</v>
      </c>
      <c r="Z147" s="74">
        <f t="shared" si="22"/>
        <v>2.8598066298342541E-5</v>
      </c>
      <c r="AA147" s="74">
        <f t="shared" si="23"/>
        <v>4.2986878453038675E-4</v>
      </c>
      <c r="AB147" s="57"/>
      <c r="AC147" s="57">
        <v>795</v>
      </c>
      <c r="AD147" s="57">
        <v>3600000</v>
      </c>
      <c r="AE147" s="57">
        <v>0</v>
      </c>
      <c r="AF147" s="84">
        <v>0</v>
      </c>
      <c r="AG147" s="64">
        <v>0</v>
      </c>
      <c r="AH147" s="157">
        <v>3.5999999999999997E-2</v>
      </c>
      <c r="AI147" s="54">
        <v>0</v>
      </c>
      <c r="AJ147" s="78" t="s">
        <v>452</v>
      </c>
      <c r="AK147" s="78" t="s">
        <v>449</v>
      </c>
      <c r="AL147" s="34"/>
    </row>
    <row r="148" spans="1:38" ht="14.5">
      <c r="A148" s="22">
        <v>2012</v>
      </c>
      <c r="B148" s="24" t="s">
        <v>240</v>
      </c>
      <c r="C148" s="24" t="s">
        <v>241</v>
      </c>
      <c r="D148" s="24" t="s">
        <v>105</v>
      </c>
      <c r="E148" s="22">
        <v>11</v>
      </c>
      <c r="F148" s="54" t="s">
        <v>106</v>
      </c>
      <c r="G148" s="298">
        <v>41274</v>
      </c>
      <c r="H148" s="300">
        <v>3348000</v>
      </c>
      <c r="I148" s="59"/>
      <c r="J148" s="185">
        <v>36586856</v>
      </c>
      <c r="K148" s="87">
        <f t="shared" si="21"/>
        <v>10.927973715651135</v>
      </c>
      <c r="L148" s="88">
        <f>145123446.288/M148</f>
        <v>4.5487539583751249E-2</v>
      </c>
      <c r="M148" s="326">
        <v>3190400000</v>
      </c>
      <c r="N148" s="302">
        <v>840000</v>
      </c>
      <c r="O148" s="302">
        <v>840000</v>
      </c>
      <c r="P148" s="304"/>
      <c r="Q148" s="88">
        <v>2.2959064861982129E-2</v>
      </c>
      <c r="R148" s="62">
        <v>0</v>
      </c>
      <c r="S148" s="57">
        <v>75500</v>
      </c>
      <c r="T148" s="57">
        <v>34537</v>
      </c>
      <c r="U148" s="57">
        <v>37461</v>
      </c>
      <c r="V148" s="57"/>
      <c r="W148" s="57"/>
      <c r="X148" s="236" t="s">
        <v>461</v>
      </c>
      <c r="Y148" s="57">
        <v>730</v>
      </c>
      <c r="Z148" s="74">
        <f t="shared" si="22"/>
        <v>4.7310958904109592E-5</v>
      </c>
      <c r="AA148" s="74">
        <f t="shared" si="23"/>
        <v>1.0342465753424658E-4</v>
      </c>
      <c r="AB148" s="84"/>
      <c r="AC148" s="332">
        <v>720</v>
      </c>
      <c r="AD148" s="84">
        <v>2047500</v>
      </c>
      <c r="AE148" s="57">
        <v>0</v>
      </c>
      <c r="AF148" s="84">
        <v>0</v>
      </c>
      <c r="AG148" s="64">
        <v>0</v>
      </c>
      <c r="AH148" s="76">
        <v>5.656985121942433E-2</v>
      </c>
      <c r="AI148" s="54">
        <v>0</v>
      </c>
      <c r="AJ148" s="78" t="s">
        <v>462</v>
      </c>
      <c r="AK148" s="78" t="s">
        <v>461</v>
      </c>
      <c r="AL148" s="34"/>
    </row>
    <row r="149" spans="1:38" ht="14.5">
      <c r="A149" s="22">
        <v>2013</v>
      </c>
      <c r="B149" s="24" t="s">
        <v>240</v>
      </c>
      <c r="C149" s="24" t="s">
        <v>241</v>
      </c>
      <c r="D149" s="24" t="s">
        <v>105</v>
      </c>
      <c r="E149" s="22">
        <v>11</v>
      </c>
      <c r="F149" s="54" t="s">
        <v>106</v>
      </c>
      <c r="G149" s="298">
        <v>41639</v>
      </c>
      <c r="H149" s="300">
        <v>2104000</v>
      </c>
      <c r="I149" s="59"/>
      <c r="J149" s="185">
        <v>40404680</v>
      </c>
      <c r="K149" s="87">
        <f t="shared" si="21"/>
        <v>19.203745247148287</v>
      </c>
      <c r="L149" s="88">
        <f>158406188.768/M149</f>
        <v>8.7041149935710757E-2</v>
      </c>
      <c r="M149" s="300">
        <v>1819900000</v>
      </c>
      <c r="N149" s="302">
        <v>1260000</v>
      </c>
      <c r="O149" s="302">
        <v>1260000</v>
      </c>
      <c r="P149" s="304"/>
      <c r="Q149" s="88">
        <v>3.118450634926449E-2</v>
      </c>
      <c r="R149" s="62">
        <v>0</v>
      </c>
      <c r="S149" s="57">
        <v>0</v>
      </c>
      <c r="T149" s="57">
        <v>192995</v>
      </c>
      <c r="U149" s="57">
        <v>378165</v>
      </c>
      <c r="V149" s="84"/>
      <c r="W149" s="84"/>
      <c r="X149" s="236" t="s">
        <v>464</v>
      </c>
      <c r="Y149" s="57">
        <v>767</v>
      </c>
      <c r="Z149" s="74">
        <f t="shared" si="22"/>
        <v>2.5162320730117338E-4</v>
      </c>
      <c r="AA149" s="74">
        <f t="shared" si="23"/>
        <v>0</v>
      </c>
      <c r="AB149" s="57"/>
      <c r="AC149" s="332">
        <v>756</v>
      </c>
      <c r="AD149" s="57">
        <v>2200000</v>
      </c>
      <c r="AE149" s="57">
        <v>0</v>
      </c>
      <c r="AF149" s="84">
        <v>0</v>
      </c>
      <c r="AG149" s="64">
        <v>0</v>
      </c>
      <c r="AH149" s="157">
        <v>8.3161407975776758E-2</v>
      </c>
      <c r="AI149" s="54">
        <v>0</v>
      </c>
      <c r="AJ149" s="78" t="s">
        <v>467</v>
      </c>
      <c r="AK149" s="78" t="s">
        <v>471</v>
      </c>
      <c r="AL149" s="344" t="s">
        <v>472</v>
      </c>
    </row>
    <row r="150" spans="1:38" ht="14.5">
      <c r="A150" s="22">
        <v>2014</v>
      </c>
      <c r="B150" s="24" t="s">
        <v>240</v>
      </c>
      <c r="C150" s="24" t="s">
        <v>241</v>
      </c>
      <c r="D150" s="24" t="s">
        <v>105</v>
      </c>
      <c r="E150" s="22">
        <v>11</v>
      </c>
      <c r="F150" s="54" t="s">
        <v>106</v>
      </c>
      <c r="G150" s="298">
        <v>42004</v>
      </c>
      <c r="H150" s="300">
        <v>2294000</v>
      </c>
      <c r="I150" s="59"/>
      <c r="J150" s="84">
        <v>37675193</v>
      </c>
      <c r="K150" s="87">
        <f t="shared" si="21"/>
        <v>16.42336224934612</v>
      </c>
      <c r="L150" s="88">
        <f>144084154.79/M150</f>
        <v>7.968815595929428E-2</v>
      </c>
      <c r="M150" s="326">
        <v>1808100000</v>
      </c>
      <c r="N150" s="302">
        <v>18081000</v>
      </c>
      <c r="O150" s="302">
        <v>18081000</v>
      </c>
      <c r="P150" s="304"/>
      <c r="Q150" s="88">
        <v>0.47991791309469867</v>
      </c>
      <c r="R150" s="62">
        <v>0</v>
      </c>
      <c r="S150" s="57">
        <v>0</v>
      </c>
      <c r="T150" s="57">
        <v>156168</v>
      </c>
      <c r="U150" s="57">
        <v>728595</v>
      </c>
      <c r="V150" s="57"/>
      <c r="W150" s="57"/>
      <c r="X150" s="236" t="s">
        <v>475</v>
      </c>
      <c r="Y150" s="57">
        <v>771</v>
      </c>
      <c r="Z150" s="74">
        <f t="shared" si="22"/>
        <v>2.0255252918287937E-4</v>
      </c>
      <c r="AA150" s="74">
        <f t="shared" si="23"/>
        <v>0</v>
      </c>
      <c r="AB150" s="57"/>
      <c r="AC150" s="332">
        <v>820</v>
      </c>
      <c r="AD150" s="57">
        <v>2200000</v>
      </c>
      <c r="AE150" s="57">
        <v>0</v>
      </c>
      <c r="AF150" s="84">
        <v>0</v>
      </c>
      <c r="AG150" s="64">
        <v>0</v>
      </c>
      <c r="AH150" s="76">
        <v>8.5140686001115448E-2</v>
      </c>
      <c r="AI150" s="54">
        <v>0</v>
      </c>
      <c r="AJ150" s="78" t="s">
        <v>477</v>
      </c>
      <c r="AK150" s="78" t="s">
        <v>479</v>
      </c>
      <c r="AL150" s="34"/>
    </row>
    <row r="151" spans="1:38" ht="14.5">
      <c r="A151" s="22">
        <v>2015</v>
      </c>
      <c r="B151" s="24" t="s">
        <v>240</v>
      </c>
      <c r="C151" s="24" t="s">
        <v>241</v>
      </c>
      <c r="D151" s="24" t="s">
        <v>105</v>
      </c>
      <c r="E151" s="22">
        <v>11</v>
      </c>
      <c r="F151" s="54" t="s">
        <v>106</v>
      </c>
      <c r="G151" s="298">
        <v>42369</v>
      </c>
      <c r="H151" s="300">
        <v>2236000</v>
      </c>
      <c r="I151" s="59"/>
      <c r="J151" s="84">
        <v>37675193</v>
      </c>
      <c r="K151" s="87">
        <f t="shared" si="21"/>
        <v>16.849370751341681</v>
      </c>
      <c r="L151" s="88">
        <f>101973497.302/M151</f>
        <v>6.141871788351503E-2</v>
      </c>
      <c r="M151" s="300">
        <v>1660300000</v>
      </c>
      <c r="N151" s="302">
        <v>1323000</v>
      </c>
      <c r="O151" s="302">
        <v>1323000</v>
      </c>
      <c r="P151" s="304"/>
      <c r="Q151" s="88">
        <v>3.5115944860587708E-2</v>
      </c>
      <c r="R151" s="62">
        <v>0</v>
      </c>
      <c r="S151" s="57">
        <v>0</v>
      </c>
      <c r="T151" s="57">
        <v>506102</v>
      </c>
      <c r="U151" s="57">
        <v>747161</v>
      </c>
      <c r="V151" s="57"/>
      <c r="W151" s="57"/>
      <c r="X151" s="236" t="s">
        <v>487</v>
      </c>
      <c r="Y151" s="57">
        <v>777</v>
      </c>
      <c r="Z151" s="74">
        <f t="shared" si="22"/>
        <v>6.5135392535392534E-4</v>
      </c>
      <c r="AA151" s="74">
        <f t="shared" si="23"/>
        <v>0</v>
      </c>
      <c r="AB151" s="57"/>
      <c r="AC151" s="332">
        <v>734</v>
      </c>
      <c r="AD151" s="57">
        <v>2075000</v>
      </c>
      <c r="AE151" s="57">
        <v>0</v>
      </c>
      <c r="AF151" s="84">
        <v>0</v>
      </c>
      <c r="AG151" s="64">
        <v>0</v>
      </c>
      <c r="AH151" s="76">
        <v>6.5473403001492889E-2</v>
      </c>
      <c r="AI151" s="54">
        <v>0</v>
      </c>
      <c r="AJ151" s="78" t="s">
        <v>489</v>
      </c>
      <c r="AK151" s="78" t="s">
        <v>497</v>
      </c>
      <c r="AL151" s="34"/>
    </row>
    <row r="152" spans="1:38" ht="14.5">
      <c r="A152" s="22">
        <v>2016</v>
      </c>
      <c r="B152" s="24" t="s">
        <v>240</v>
      </c>
      <c r="C152" s="24" t="s">
        <v>241</v>
      </c>
      <c r="D152" s="24" t="s">
        <v>105</v>
      </c>
      <c r="E152" s="22">
        <v>11</v>
      </c>
      <c r="F152" s="54" t="s">
        <v>106</v>
      </c>
      <c r="G152" s="298">
        <v>42735</v>
      </c>
      <c r="H152" s="54">
        <v>2219000</v>
      </c>
      <c r="I152" s="59"/>
      <c r="J152" s="84">
        <v>47355811</v>
      </c>
      <c r="K152" s="87">
        <f t="shared" si="21"/>
        <v>21.34105948625507</v>
      </c>
      <c r="L152" s="88">
        <f>109105832.178/M152</f>
        <v>7.863483400216216E-2</v>
      </c>
      <c r="M152" s="57">
        <v>1387500000</v>
      </c>
      <c r="N152" s="302">
        <v>0</v>
      </c>
      <c r="O152" s="302">
        <v>0</v>
      </c>
      <c r="P152" s="304"/>
      <c r="Q152" s="62">
        <v>0</v>
      </c>
      <c r="R152" s="62">
        <v>0</v>
      </c>
      <c r="S152" s="57">
        <v>0</v>
      </c>
      <c r="T152" s="57">
        <v>454468</v>
      </c>
      <c r="U152" s="57">
        <v>1660873</v>
      </c>
      <c r="V152" s="57"/>
      <c r="W152" s="57"/>
      <c r="X152" s="78" t="s">
        <v>498</v>
      </c>
      <c r="Y152" s="54">
        <v>821</v>
      </c>
      <c r="Z152" s="74">
        <f t="shared" si="22"/>
        <v>5.5355420219244827E-4</v>
      </c>
      <c r="AA152" s="74">
        <f t="shared" si="23"/>
        <v>0</v>
      </c>
      <c r="AB152" s="54"/>
      <c r="AC152" s="371">
        <v>693</v>
      </c>
      <c r="AD152" s="54">
        <v>2125000</v>
      </c>
      <c r="AE152" s="57">
        <v>0</v>
      </c>
      <c r="AF152" s="84">
        <v>0</v>
      </c>
      <c r="AG152" s="64">
        <v>0</v>
      </c>
      <c r="AH152" s="76">
        <v>5.8366612111292959E-2</v>
      </c>
      <c r="AI152" s="54">
        <v>0</v>
      </c>
      <c r="AJ152" s="78" t="s">
        <v>500</v>
      </c>
      <c r="AK152" s="78" t="s">
        <v>498</v>
      </c>
      <c r="AL152" s="34"/>
    </row>
    <row r="153" spans="1:38" ht="14.5">
      <c r="A153" s="22">
        <v>2017</v>
      </c>
      <c r="B153" s="24" t="s">
        <v>240</v>
      </c>
      <c r="C153" s="24" t="s">
        <v>241</v>
      </c>
      <c r="D153" s="24" t="s">
        <v>105</v>
      </c>
      <c r="E153" s="22">
        <v>11</v>
      </c>
      <c r="F153" s="54" t="s">
        <v>106</v>
      </c>
      <c r="G153" s="298">
        <v>43100</v>
      </c>
      <c r="H153" s="57">
        <v>2160000</v>
      </c>
      <c r="I153" s="59"/>
      <c r="J153" s="84">
        <v>45135587</v>
      </c>
      <c r="K153" s="87">
        <f t="shared" si="21"/>
        <v>20.896105092592592</v>
      </c>
      <c r="L153" s="88">
        <f>119605988.98/M153</f>
        <v>8.5189450840455844E-2</v>
      </c>
      <c r="M153" s="57">
        <v>1404000000</v>
      </c>
      <c r="N153" s="302">
        <v>53706178</v>
      </c>
      <c r="O153" s="302">
        <v>53706178</v>
      </c>
      <c r="P153" s="304"/>
      <c r="Q153" s="88">
        <v>1.1898854444941638</v>
      </c>
      <c r="R153" s="62">
        <v>0</v>
      </c>
      <c r="S153" s="57">
        <v>0</v>
      </c>
      <c r="T153" s="57">
        <v>141832</v>
      </c>
      <c r="U153" s="57">
        <v>1658495</v>
      </c>
      <c r="V153" s="54"/>
      <c r="W153" s="54"/>
      <c r="X153" s="78" t="s">
        <v>502</v>
      </c>
      <c r="Y153" s="54">
        <v>821</v>
      </c>
      <c r="Z153" s="74">
        <f t="shared" si="22"/>
        <v>1.7275517661388551E-4</v>
      </c>
      <c r="AA153" s="74">
        <f t="shared" si="23"/>
        <v>0</v>
      </c>
      <c r="AB153" s="54"/>
      <c r="AC153" s="371">
        <v>771</v>
      </c>
      <c r="AD153" s="54">
        <v>2090000</v>
      </c>
      <c r="AE153" s="84">
        <v>794000</v>
      </c>
      <c r="AF153" s="84">
        <v>593216.11552788201</v>
      </c>
      <c r="AG153" s="88">
        <v>0.28383546197506315</v>
      </c>
      <c r="AH153" s="76">
        <v>6.6997464686707711E-2</v>
      </c>
      <c r="AI153" s="54">
        <v>1</v>
      </c>
      <c r="AJ153" s="78" t="s">
        <v>503</v>
      </c>
      <c r="AK153" s="78" t="s">
        <v>502</v>
      </c>
      <c r="AL153" s="34"/>
    </row>
    <row r="154" spans="1:38" ht="14.5">
      <c r="A154" s="40">
        <v>2004</v>
      </c>
      <c r="B154" s="41" t="s">
        <v>269</v>
      </c>
      <c r="C154" s="41" t="s">
        <v>270</v>
      </c>
      <c r="D154" s="41" t="s">
        <v>105</v>
      </c>
      <c r="E154" s="40">
        <v>11</v>
      </c>
      <c r="H154" s="43"/>
      <c r="I154" s="117"/>
      <c r="J154" s="43"/>
      <c r="K154" s="44"/>
      <c r="L154" s="45"/>
      <c r="M154" s="43"/>
      <c r="N154" s="46"/>
      <c r="O154" s="46"/>
      <c r="P154" s="45"/>
      <c r="Q154" s="45"/>
      <c r="R154" s="45"/>
      <c r="S154" s="43"/>
      <c r="T154" s="43"/>
      <c r="U154" s="43"/>
      <c r="V154" s="43"/>
      <c r="W154" s="43"/>
      <c r="X154" s="43"/>
      <c r="Y154" s="43"/>
      <c r="Z154" s="43"/>
      <c r="AA154" s="43"/>
      <c r="AB154" s="43"/>
      <c r="AC154" s="43">
        <f>AVERAGE(AC145:AC153)</f>
        <v>716.77777777777783</v>
      </c>
      <c r="AD154" s="43"/>
      <c r="AE154" s="48"/>
      <c r="AF154" s="48"/>
      <c r="AG154" s="48"/>
      <c r="AH154" s="50"/>
    </row>
    <row r="155" spans="1:38" ht="14.5">
      <c r="A155" s="40">
        <v>2005</v>
      </c>
      <c r="B155" s="41" t="s">
        <v>269</v>
      </c>
      <c r="C155" s="41" t="s">
        <v>270</v>
      </c>
      <c r="D155" s="41" t="s">
        <v>105</v>
      </c>
      <c r="E155" s="40">
        <v>11</v>
      </c>
      <c r="H155" s="43"/>
      <c r="I155" s="117"/>
      <c r="J155" s="43"/>
      <c r="K155" s="44"/>
      <c r="L155" s="45"/>
      <c r="M155" s="43"/>
      <c r="N155" s="46"/>
      <c r="O155" s="46"/>
      <c r="P155" s="45"/>
      <c r="Q155" s="45"/>
      <c r="R155" s="45"/>
      <c r="S155" s="43"/>
      <c r="T155" s="43"/>
      <c r="U155" s="43"/>
      <c r="V155" s="43"/>
      <c r="W155" s="43"/>
      <c r="X155" s="43"/>
      <c r="Y155" s="43"/>
      <c r="Z155" s="43"/>
      <c r="AA155" s="43"/>
      <c r="AB155" s="43"/>
      <c r="AC155" s="43"/>
      <c r="AD155" s="43"/>
      <c r="AE155" s="48"/>
      <c r="AF155" s="48"/>
      <c r="AG155" s="48"/>
      <c r="AH155" s="50"/>
    </row>
    <row r="156" spans="1:38" ht="14.5">
      <c r="A156" s="40">
        <v>2006</v>
      </c>
      <c r="B156" s="41" t="s">
        <v>269</v>
      </c>
      <c r="C156" s="41" t="s">
        <v>270</v>
      </c>
      <c r="D156" s="41" t="s">
        <v>105</v>
      </c>
      <c r="E156" s="40">
        <v>11</v>
      </c>
      <c r="H156" s="43"/>
      <c r="I156" s="117"/>
      <c r="J156" s="43"/>
      <c r="K156" s="44"/>
      <c r="L156" s="45"/>
      <c r="M156" s="43"/>
      <c r="N156" s="46"/>
      <c r="O156" s="46"/>
      <c r="P156" s="45"/>
      <c r="Q156" s="45"/>
      <c r="R156" s="45"/>
      <c r="S156" s="43"/>
      <c r="T156" s="43"/>
      <c r="U156" s="43"/>
      <c r="V156" s="43"/>
      <c r="W156" s="43"/>
      <c r="X156" s="43"/>
      <c r="Y156" s="43"/>
      <c r="Z156" s="43"/>
      <c r="AA156" s="43"/>
      <c r="AB156" s="43"/>
      <c r="AC156" s="43"/>
      <c r="AD156" s="43"/>
      <c r="AE156" s="48"/>
      <c r="AF156" s="48"/>
      <c r="AG156" s="48"/>
      <c r="AH156" s="50"/>
    </row>
    <row r="157" spans="1:38" ht="14.5">
      <c r="A157" s="40">
        <v>2007</v>
      </c>
      <c r="B157" s="41" t="s">
        <v>269</v>
      </c>
      <c r="C157" s="41" t="s">
        <v>270</v>
      </c>
      <c r="D157" s="41" t="s">
        <v>105</v>
      </c>
      <c r="E157" s="40">
        <v>11</v>
      </c>
      <c r="H157" s="43"/>
      <c r="I157" s="117"/>
      <c r="J157" s="43"/>
      <c r="K157" s="44"/>
      <c r="L157" s="45"/>
      <c r="M157" s="43"/>
      <c r="N157" s="46"/>
      <c r="O157" s="46"/>
      <c r="P157" s="45"/>
      <c r="Q157" s="45"/>
      <c r="R157" s="45"/>
      <c r="S157" s="43"/>
      <c r="T157" s="43"/>
      <c r="U157" s="43"/>
      <c r="V157" s="43"/>
      <c r="W157" s="43"/>
      <c r="X157" s="43"/>
      <c r="Y157" s="43"/>
      <c r="Z157" s="43"/>
      <c r="AA157" s="43"/>
      <c r="AB157" s="43"/>
      <c r="AC157" s="43"/>
      <c r="AD157" s="43"/>
      <c r="AE157" s="48"/>
      <c r="AF157" s="48"/>
      <c r="AG157" s="48"/>
      <c r="AH157" s="50"/>
    </row>
    <row r="158" spans="1:38" ht="14.5">
      <c r="A158" s="40">
        <v>2008</v>
      </c>
      <c r="B158" s="41" t="s">
        <v>269</v>
      </c>
      <c r="C158" s="41" t="s">
        <v>270</v>
      </c>
      <c r="D158" s="41" t="s">
        <v>105</v>
      </c>
      <c r="E158" s="40">
        <v>11</v>
      </c>
      <c r="H158" s="43"/>
      <c r="I158" s="117"/>
      <c r="J158" s="43"/>
      <c r="K158" s="44"/>
      <c r="L158" s="45"/>
      <c r="M158" s="43"/>
      <c r="N158" s="46"/>
      <c r="O158" s="46"/>
      <c r="P158" s="45"/>
      <c r="Q158" s="45"/>
      <c r="R158" s="45"/>
      <c r="S158" s="43"/>
      <c r="T158" s="43"/>
      <c r="U158" s="43"/>
      <c r="V158" s="43"/>
      <c r="W158" s="43"/>
      <c r="X158" s="43"/>
      <c r="Y158" s="43"/>
      <c r="Z158" s="43"/>
      <c r="AA158" s="43"/>
      <c r="AB158" s="43"/>
      <c r="AC158" s="43"/>
      <c r="AD158" s="43"/>
      <c r="AE158" s="48"/>
      <c r="AF158" s="48"/>
      <c r="AG158" s="48"/>
      <c r="AH158" s="50"/>
    </row>
    <row r="159" spans="1:38" ht="14.5">
      <c r="A159" s="22">
        <v>2009</v>
      </c>
      <c r="B159" s="24" t="s">
        <v>269</v>
      </c>
      <c r="C159" s="24" t="s">
        <v>270</v>
      </c>
      <c r="D159" s="24" t="s">
        <v>105</v>
      </c>
      <c r="E159" s="22">
        <v>11</v>
      </c>
      <c r="F159" s="54" t="s">
        <v>106</v>
      </c>
      <c r="G159" s="384">
        <v>40178</v>
      </c>
      <c r="H159" s="57">
        <v>4599000</v>
      </c>
      <c r="I159" s="59"/>
      <c r="J159" s="84">
        <v>88336062</v>
      </c>
      <c r="K159" s="87">
        <f t="shared" ref="K159:K167" si="24">J159/H159</f>
        <v>19.207667318982388</v>
      </c>
      <c r="L159" s="88">
        <f>202819598.523/M159</f>
        <v>7.2100817107358689E-2</v>
      </c>
      <c r="M159" s="57">
        <v>2813000000</v>
      </c>
      <c r="N159" s="64">
        <v>0</v>
      </c>
      <c r="O159" s="64">
        <v>0</v>
      </c>
      <c r="P159" s="388"/>
      <c r="Q159" s="388">
        <v>0</v>
      </c>
      <c r="R159" s="388">
        <v>0</v>
      </c>
      <c r="S159" s="390">
        <v>485933</v>
      </c>
      <c r="T159" s="57">
        <v>20351</v>
      </c>
      <c r="U159" s="57">
        <v>0</v>
      </c>
      <c r="V159" s="57">
        <f t="shared" ref="V159:V167" si="25">U159+T159</f>
        <v>20351</v>
      </c>
      <c r="W159" s="57"/>
      <c r="X159" s="57"/>
      <c r="Y159" s="57">
        <v>363</v>
      </c>
      <c r="Z159" s="74">
        <f t="shared" ref="Z159:Z167" si="26">T159/(Y159*1000000)</f>
        <v>5.6063360881542702E-5</v>
      </c>
      <c r="AA159" s="74">
        <f t="shared" ref="AA159:AA167" si="27">S159/(Y159*1000000)</f>
        <v>1.3386584022038568E-3</v>
      </c>
      <c r="AB159" s="57"/>
      <c r="AC159" s="57">
        <v>534</v>
      </c>
      <c r="AD159" s="57">
        <v>4600000</v>
      </c>
      <c r="AE159" s="255">
        <v>3900000</v>
      </c>
      <c r="AF159" s="255">
        <v>3490000</v>
      </c>
      <c r="AG159" s="393">
        <v>0.75869565217391299</v>
      </c>
      <c r="AH159" s="34">
        <v>2.7137076378351038E-2</v>
      </c>
      <c r="AI159" s="54">
        <v>0</v>
      </c>
      <c r="AJ159" s="78" t="s">
        <v>516</v>
      </c>
      <c r="AK159" s="78" t="s">
        <v>520</v>
      </c>
      <c r="AL159" s="54" t="s">
        <v>525</v>
      </c>
    </row>
    <row r="160" spans="1:38" ht="14.5">
      <c r="A160" s="22">
        <v>2010</v>
      </c>
      <c r="B160" s="24" t="s">
        <v>269</v>
      </c>
      <c r="C160" s="24" t="s">
        <v>270</v>
      </c>
      <c r="D160" s="24" t="s">
        <v>105</v>
      </c>
      <c r="E160" s="22">
        <v>11</v>
      </c>
      <c r="F160" s="54" t="s">
        <v>106</v>
      </c>
      <c r="G160" s="384">
        <v>40543</v>
      </c>
      <c r="H160" s="57">
        <v>4515000</v>
      </c>
      <c r="I160" s="59"/>
      <c r="J160" s="84">
        <v>87597842</v>
      </c>
      <c r="K160" s="87">
        <f t="shared" si="24"/>
        <v>19.401515393133998</v>
      </c>
      <c r="L160" s="88">
        <f>246232229.816/M160</f>
        <v>6.9361191497464794E-2</v>
      </c>
      <c r="M160" s="57">
        <v>3550000000</v>
      </c>
      <c r="N160" s="64">
        <v>0</v>
      </c>
      <c r="O160" s="64">
        <v>0</v>
      </c>
      <c r="P160" s="388"/>
      <c r="Q160" s="388">
        <v>0</v>
      </c>
      <c r="R160" s="388">
        <v>0</v>
      </c>
      <c r="S160" s="390">
        <v>491911</v>
      </c>
      <c r="T160" s="57">
        <v>20351</v>
      </c>
      <c r="U160" s="57">
        <v>0</v>
      </c>
      <c r="V160" s="57">
        <f t="shared" si="25"/>
        <v>20351</v>
      </c>
      <c r="W160" s="57"/>
      <c r="X160" s="57"/>
      <c r="Y160" s="57">
        <v>382</v>
      </c>
      <c r="Z160" s="74">
        <f t="shared" si="26"/>
        <v>5.3274869109947644E-5</v>
      </c>
      <c r="AA160" s="74">
        <f t="shared" si="27"/>
        <v>1.2877251308900522E-3</v>
      </c>
      <c r="AB160" s="57"/>
      <c r="AC160" s="57">
        <v>627</v>
      </c>
      <c r="AD160" s="57">
        <v>4650000</v>
      </c>
      <c r="AE160" s="255">
        <v>0</v>
      </c>
      <c r="AF160" s="64">
        <v>0</v>
      </c>
      <c r="AG160" s="64">
        <v>0</v>
      </c>
      <c r="AH160" s="34">
        <v>2.6747311586051745E-2</v>
      </c>
      <c r="AI160" s="54">
        <v>0</v>
      </c>
      <c r="AJ160" s="78" t="s">
        <v>527</v>
      </c>
      <c r="AK160" s="78" t="s">
        <v>530</v>
      </c>
      <c r="AL160" s="54" t="s">
        <v>531</v>
      </c>
    </row>
    <row r="161" spans="1:38" ht="14.5">
      <c r="A161" s="22">
        <v>2011</v>
      </c>
      <c r="B161" s="24" t="s">
        <v>269</v>
      </c>
      <c r="C161" s="24" t="s">
        <v>270</v>
      </c>
      <c r="D161" s="24" t="s">
        <v>105</v>
      </c>
      <c r="E161" s="22">
        <v>11</v>
      </c>
      <c r="F161" s="54" t="s">
        <v>106</v>
      </c>
      <c r="G161" s="401">
        <v>40908</v>
      </c>
      <c r="H161" s="178">
        <v>4331000</v>
      </c>
      <c r="I161" s="59"/>
      <c r="J161" s="34">
        <v>90420643</v>
      </c>
      <c r="K161" s="87">
        <f t="shared" si="24"/>
        <v>20.877543985222811</v>
      </c>
      <c r="L161" s="88">
        <f>333004280.53/M161</f>
        <v>8.5561223157759506E-2</v>
      </c>
      <c r="M161" s="57">
        <v>3892000000</v>
      </c>
      <c r="N161" s="64">
        <v>0</v>
      </c>
      <c r="O161" s="64">
        <v>0</v>
      </c>
      <c r="P161" s="388"/>
      <c r="Q161" s="388">
        <v>0</v>
      </c>
      <c r="R161" s="388">
        <v>0</v>
      </c>
      <c r="S161" s="390">
        <v>419176</v>
      </c>
      <c r="T161" s="57">
        <v>20351</v>
      </c>
      <c r="U161" s="57">
        <v>0</v>
      </c>
      <c r="V161" s="57">
        <f t="shared" si="25"/>
        <v>20351</v>
      </c>
      <c r="W161" s="57"/>
      <c r="X161" s="57"/>
      <c r="Y161" s="57">
        <v>383</v>
      </c>
      <c r="Z161" s="74">
        <f t="shared" si="26"/>
        <v>5.3135770234986948E-5</v>
      </c>
      <c r="AA161" s="74">
        <f t="shared" si="27"/>
        <v>1.0944543080939947E-3</v>
      </c>
      <c r="AB161" s="57"/>
      <c r="AC161" s="57">
        <v>733</v>
      </c>
      <c r="AD161" s="57">
        <v>4250000</v>
      </c>
      <c r="AE161" s="255">
        <v>0</v>
      </c>
      <c r="AF161" s="64">
        <v>0</v>
      </c>
      <c r="AG161" s="64">
        <v>0</v>
      </c>
      <c r="AH161" s="76">
        <v>6.3835850669706429E-2</v>
      </c>
      <c r="AI161" s="54">
        <v>0</v>
      </c>
      <c r="AJ161" s="78" t="s">
        <v>538</v>
      </c>
      <c r="AK161" s="78" t="s">
        <v>542</v>
      </c>
      <c r="AL161" s="34"/>
    </row>
    <row r="162" spans="1:38" ht="14.5">
      <c r="A162" s="22">
        <v>2012</v>
      </c>
      <c r="B162" s="24" t="s">
        <v>269</v>
      </c>
      <c r="C162" s="24" t="s">
        <v>270</v>
      </c>
      <c r="D162" s="24" t="s">
        <v>105</v>
      </c>
      <c r="E162" s="22">
        <v>11</v>
      </c>
      <c r="F162" s="54" t="s">
        <v>106</v>
      </c>
      <c r="G162" s="384">
        <v>41274</v>
      </c>
      <c r="H162" s="178">
        <v>3944000</v>
      </c>
      <c r="I162" s="59"/>
      <c r="J162" s="185">
        <v>93706128</v>
      </c>
      <c r="K162" s="87">
        <f t="shared" si="24"/>
        <v>23.75916024340771</v>
      </c>
      <c r="L162" s="88">
        <f>359955092.26/M162</f>
        <v>9.0806027310797177E-2</v>
      </c>
      <c r="M162" s="57">
        <v>3964000000</v>
      </c>
      <c r="N162" s="64">
        <v>0</v>
      </c>
      <c r="O162" s="64">
        <v>0</v>
      </c>
      <c r="P162" s="388"/>
      <c r="Q162" s="388">
        <v>0</v>
      </c>
      <c r="R162" s="388">
        <v>0</v>
      </c>
      <c r="S162" s="390">
        <v>408286</v>
      </c>
      <c r="T162" s="57">
        <v>114200</v>
      </c>
      <c r="U162" s="57">
        <v>0</v>
      </c>
      <c r="V162" s="57">
        <f t="shared" si="25"/>
        <v>114200</v>
      </c>
      <c r="W162" s="57"/>
      <c r="X162" s="57"/>
      <c r="Y162" s="57">
        <v>384</v>
      </c>
      <c r="Z162" s="74">
        <f t="shared" si="26"/>
        <v>2.9739583333333332E-4</v>
      </c>
      <c r="AA162" s="74">
        <f t="shared" si="27"/>
        <v>1.0632447916666668E-3</v>
      </c>
      <c r="AB162" s="57"/>
      <c r="AC162" s="414">
        <v>884</v>
      </c>
      <c r="AD162" s="57">
        <v>4250000</v>
      </c>
      <c r="AE162" s="255">
        <v>0</v>
      </c>
      <c r="AF162" s="64">
        <v>0</v>
      </c>
      <c r="AG162" s="64">
        <v>0</v>
      </c>
      <c r="AH162" s="76">
        <v>6.090169992609018E-2</v>
      </c>
      <c r="AI162" s="54">
        <v>0</v>
      </c>
      <c r="AJ162" s="78" t="s">
        <v>546</v>
      </c>
      <c r="AK162" s="78" t="s">
        <v>547</v>
      </c>
      <c r="AL162" s="34"/>
    </row>
    <row r="163" spans="1:38" ht="14.5">
      <c r="A163" s="22">
        <v>2013</v>
      </c>
      <c r="B163" s="24" t="s">
        <v>269</v>
      </c>
      <c r="C163" s="24" t="s">
        <v>270</v>
      </c>
      <c r="D163" s="24" t="s">
        <v>105</v>
      </c>
      <c r="E163" s="22">
        <v>11</v>
      </c>
      <c r="F163" s="54" t="s">
        <v>106</v>
      </c>
      <c r="G163" s="401">
        <v>41639</v>
      </c>
      <c r="H163" s="57">
        <v>4105000</v>
      </c>
      <c r="I163" s="59"/>
      <c r="J163" s="34">
        <v>99362302</v>
      </c>
      <c r="K163" s="87">
        <f t="shared" si="24"/>
        <v>24.205189281364191</v>
      </c>
      <c r="L163" s="88">
        <f>381390913.732/M163</f>
        <v>9.1990090142788222E-2</v>
      </c>
      <c r="M163" s="57">
        <v>4146000000</v>
      </c>
      <c r="N163" s="64">
        <v>0</v>
      </c>
      <c r="O163" s="64">
        <v>0</v>
      </c>
      <c r="P163" s="388"/>
      <c r="Q163" s="388">
        <v>0</v>
      </c>
      <c r="R163" s="388">
        <v>0</v>
      </c>
      <c r="S163" s="390">
        <v>386936</v>
      </c>
      <c r="T163" s="57">
        <v>79617</v>
      </c>
      <c r="U163" s="57">
        <v>3000</v>
      </c>
      <c r="V163" s="57">
        <f t="shared" si="25"/>
        <v>82617</v>
      </c>
      <c r="W163" s="57"/>
      <c r="X163" s="57"/>
      <c r="Y163" s="57">
        <v>403</v>
      </c>
      <c r="Z163" s="74">
        <f t="shared" si="26"/>
        <v>1.9756079404466501E-4</v>
      </c>
      <c r="AA163" s="74">
        <f t="shared" si="27"/>
        <v>9.6013895781637713E-4</v>
      </c>
      <c r="AB163" s="57"/>
      <c r="AC163" s="414">
        <v>836</v>
      </c>
      <c r="AD163" s="57">
        <v>4350000</v>
      </c>
      <c r="AE163" s="255">
        <v>0</v>
      </c>
      <c r="AF163" s="64">
        <v>0</v>
      </c>
      <c r="AG163" s="64">
        <v>0</v>
      </c>
      <c r="AH163" s="76">
        <v>5.1423641069887838E-2</v>
      </c>
      <c r="AI163" s="54">
        <v>0</v>
      </c>
      <c r="AJ163" s="78" t="s">
        <v>550</v>
      </c>
      <c r="AK163" s="78" t="s">
        <v>554</v>
      </c>
      <c r="AL163" s="34"/>
    </row>
    <row r="164" spans="1:38" ht="14.5">
      <c r="A164" s="22">
        <v>2014</v>
      </c>
      <c r="B164" s="24" t="s">
        <v>269</v>
      </c>
      <c r="C164" s="24" t="s">
        <v>270</v>
      </c>
      <c r="D164" s="24" t="s">
        <v>105</v>
      </c>
      <c r="E164" s="22">
        <v>11</v>
      </c>
      <c r="F164" s="54" t="s">
        <v>106</v>
      </c>
      <c r="G164" s="384">
        <v>42004</v>
      </c>
      <c r="H164" s="57">
        <v>4436000</v>
      </c>
      <c r="I164" s="59"/>
      <c r="J164" s="84">
        <v>103846885</v>
      </c>
      <c r="K164" s="87">
        <f t="shared" si="24"/>
        <v>23.410028178539225</v>
      </c>
      <c r="L164" s="88">
        <f>388032798.915/M164</f>
        <v>9.7692044037009068E-2</v>
      </c>
      <c r="M164" s="57">
        <v>3972000000</v>
      </c>
      <c r="N164" s="64">
        <v>0</v>
      </c>
      <c r="O164" s="64">
        <v>0</v>
      </c>
      <c r="P164" s="388"/>
      <c r="Q164" s="388">
        <v>0</v>
      </c>
      <c r="R164" s="388">
        <v>0</v>
      </c>
      <c r="S164" s="390">
        <v>661210</v>
      </c>
      <c r="T164" s="57">
        <v>86009</v>
      </c>
      <c r="U164" s="57">
        <v>12500</v>
      </c>
      <c r="V164" s="57">
        <f t="shared" si="25"/>
        <v>98509</v>
      </c>
      <c r="W164" s="57"/>
      <c r="X164" s="57"/>
      <c r="Y164" s="57">
        <v>404</v>
      </c>
      <c r="Z164" s="74">
        <f t="shared" si="26"/>
        <v>2.1289356435643563E-4</v>
      </c>
      <c r="AA164" s="74">
        <f t="shared" si="27"/>
        <v>1.6366584158415841E-3</v>
      </c>
      <c r="AB164" s="57"/>
      <c r="AC164" s="414">
        <v>785</v>
      </c>
      <c r="AD164" s="57">
        <v>4150000</v>
      </c>
      <c r="AE164" s="255">
        <v>0</v>
      </c>
      <c r="AF164" s="64">
        <v>0</v>
      </c>
      <c r="AG164" s="64">
        <v>0</v>
      </c>
      <c r="AH164" s="76">
        <v>4.8157606712878498E-2</v>
      </c>
      <c r="AI164" s="54">
        <v>0</v>
      </c>
      <c r="AJ164" s="78" t="s">
        <v>556</v>
      </c>
      <c r="AK164" s="78" t="s">
        <v>560</v>
      </c>
      <c r="AL164" s="34"/>
    </row>
    <row r="165" spans="1:38" ht="14.5">
      <c r="A165" s="22">
        <v>2015</v>
      </c>
      <c r="B165" s="24" t="s">
        <v>269</v>
      </c>
      <c r="C165" s="24" t="s">
        <v>270</v>
      </c>
      <c r="D165" s="24" t="s">
        <v>105</v>
      </c>
      <c r="E165" s="22">
        <v>11</v>
      </c>
      <c r="F165" s="54" t="s">
        <v>106</v>
      </c>
      <c r="G165" s="401">
        <v>42369</v>
      </c>
      <c r="H165" s="178">
        <v>3947000</v>
      </c>
      <c r="I165" s="59"/>
      <c r="J165" s="84">
        <v>101361205</v>
      </c>
      <c r="K165" s="87">
        <f t="shared" si="24"/>
        <v>25.680568786420064</v>
      </c>
      <c r="L165" s="88">
        <f>264725303.575/M165</f>
        <v>8.0365908796296293E-2</v>
      </c>
      <c r="M165" s="57">
        <v>3294000000</v>
      </c>
      <c r="N165" s="64">
        <v>0</v>
      </c>
      <c r="O165" s="64">
        <v>0</v>
      </c>
      <c r="P165" s="388"/>
      <c r="Q165" s="388">
        <v>0</v>
      </c>
      <c r="R165" s="388">
        <v>0</v>
      </c>
      <c r="S165" s="390">
        <v>857951</v>
      </c>
      <c r="T165" s="57">
        <v>209043</v>
      </c>
      <c r="U165" s="57">
        <v>28800</v>
      </c>
      <c r="V165" s="57">
        <f t="shared" si="25"/>
        <v>237843</v>
      </c>
      <c r="W165" s="57"/>
      <c r="X165" s="57"/>
      <c r="Y165" s="57">
        <v>405</v>
      </c>
      <c r="Z165" s="74">
        <f t="shared" si="26"/>
        <v>5.1615555555555557E-4</v>
      </c>
      <c r="AA165" s="74">
        <f t="shared" si="27"/>
        <v>2.1183975308641974E-3</v>
      </c>
      <c r="AB165" s="57"/>
      <c r="AC165" s="414">
        <v>712</v>
      </c>
      <c r="AD165" s="57">
        <v>3700000</v>
      </c>
      <c r="AE165" s="255">
        <v>0</v>
      </c>
      <c r="AF165" s="64">
        <v>0</v>
      </c>
      <c r="AG165" s="64">
        <v>0</v>
      </c>
      <c r="AH165" s="76">
        <v>5.9278350515463929E-2</v>
      </c>
      <c r="AI165" s="54">
        <v>0</v>
      </c>
      <c r="AJ165" s="78" t="s">
        <v>565</v>
      </c>
      <c r="AK165" s="78" t="s">
        <v>560</v>
      </c>
      <c r="AL165" s="34"/>
    </row>
    <row r="166" spans="1:38" ht="14.5">
      <c r="A166" s="22">
        <v>2016</v>
      </c>
      <c r="B166" s="24" t="s">
        <v>269</v>
      </c>
      <c r="C166" s="24" t="s">
        <v>270</v>
      </c>
      <c r="D166" s="24" t="s">
        <v>105</v>
      </c>
      <c r="E166" s="22">
        <v>11</v>
      </c>
      <c r="F166" s="54" t="s">
        <v>106</v>
      </c>
      <c r="G166" s="384">
        <v>42735</v>
      </c>
      <c r="H166" s="57">
        <v>3628000</v>
      </c>
      <c r="I166" s="59"/>
      <c r="J166" s="84">
        <v>90929944</v>
      </c>
      <c r="K166" s="87">
        <f t="shared" si="24"/>
        <v>25.063380374862184</v>
      </c>
      <c r="L166" s="88">
        <f>201332165.574/M166</f>
        <v>6.1701552428440089E-2</v>
      </c>
      <c r="M166" s="57">
        <v>3263000000</v>
      </c>
      <c r="N166" s="64">
        <v>0</v>
      </c>
      <c r="O166" s="64">
        <v>0</v>
      </c>
      <c r="P166" s="388"/>
      <c r="Q166" s="388">
        <v>0</v>
      </c>
      <c r="R166" s="388">
        <v>0</v>
      </c>
      <c r="S166" s="390">
        <v>900872</v>
      </c>
      <c r="T166" s="57">
        <v>225757</v>
      </c>
      <c r="U166" s="57">
        <v>29790</v>
      </c>
      <c r="V166" s="57">
        <f t="shared" si="25"/>
        <v>255547</v>
      </c>
      <c r="W166" s="34"/>
      <c r="X166" s="57"/>
      <c r="Y166" s="57">
        <v>408</v>
      </c>
      <c r="Z166" s="74">
        <f t="shared" si="26"/>
        <v>5.5332598039215691E-4</v>
      </c>
      <c r="AA166" s="74">
        <f t="shared" si="27"/>
        <v>2.2080196078431372E-3</v>
      </c>
      <c r="AB166" s="57"/>
      <c r="AC166" s="433">
        <v>744</v>
      </c>
      <c r="AD166" s="57">
        <v>3675000</v>
      </c>
      <c r="AE166" s="255">
        <v>0</v>
      </c>
      <c r="AF166" s="64">
        <v>0</v>
      </c>
      <c r="AG166" s="64">
        <v>0</v>
      </c>
      <c r="AH166" s="76">
        <v>3.3782129742962054E-2</v>
      </c>
      <c r="AI166" s="54">
        <v>0</v>
      </c>
      <c r="AJ166" s="78" t="s">
        <v>573</v>
      </c>
      <c r="AK166" s="78" t="s">
        <v>577</v>
      </c>
      <c r="AL166" s="34"/>
    </row>
    <row r="167" spans="1:38" ht="14.5">
      <c r="A167" s="22">
        <v>2017</v>
      </c>
      <c r="B167" s="24" t="s">
        <v>269</v>
      </c>
      <c r="C167" s="24" t="s">
        <v>270</v>
      </c>
      <c r="D167" s="24" t="s">
        <v>105</v>
      </c>
      <c r="E167" s="22">
        <v>11</v>
      </c>
      <c r="F167" s="54" t="s">
        <v>106</v>
      </c>
      <c r="G167" s="401">
        <v>43100</v>
      </c>
      <c r="H167" s="57">
        <v>3760000</v>
      </c>
      <c r="I167" s="59"/>
      <c r="J167" s="84">
        <v>78526300</v>
      </c>
      <c r="K167" s="87">
        <f t="shared" si="24"/>
        <v>20.884654255319148</v>
      </c>
      <c r="L167" s="88">
        <f>200231477.308/M167</f>
        <v>5.5899351565605805E-2</v>
      </c>
      <c r="M167" s="57">
        <v>3582000000</v>
      </c>
      <c r="N167" s="64">
        <v>0</v>
      </c>
      <c r="O167" s="64">
        <v>0</v>
      </c>
      <c r="P167" s="388"/>
      <c r="Q167" s="388">
        <v>0</v>
      </c>
      <c r="R167" s="388">
        <v>0</v>
      </c>
      <c r="S167" s="390">
        <v>889216</v>
      </c>
      <c r="T167" s="57">
        <v>264733</v>
      </c>
      <c r="U167" s="57">
        <v>34290</v>
      </c>
      <c r="V167" s="57">
        <f t="shared" si="25"/>
        <v>299023</v>
      </c>
      <c r="W167" s="452"/>
      <c r="X167" s="57"/>
      <c r="Y167" s="57">
        <v>410</v>
      </c>
      <c r="Z167" s="74">
        <f t="shared" si="26"/>
        <v>6.4569024390243902E-4</v>
      </c>
      <c r="AA167" s="74">
        <f t="shared" si="27"/>
        <v>2.168819512195122E-3</v>
      </c>
      <c r="AB167" s="34"/>
      <c r="AC167" s="455">
        <v>789</v>
      </c>
      <c r="AD167" s="57">
        <v>3387500</v>
      </c>
      <c r="AE167" s="255">
        <v>0</v>
      </c>
      <c r="AF167" s="64">
        <v>0</v>
      </c>
      <c r="AG167" s="64">
        <v>0</v>
      </c>
      <c r="AH167" s="76">
        <v>3.5353535353535352E-2</v>
      </c>
      <c r="AI167" s="54">
        <v>0</v>
      </c>
      <c r="AJ167" s="78" t="s">
        <v>579</v>
      </c>
      <c r="AK167" s="78" t="s">
        <v>581</v>
      </c>
      <c r="AL167" s="34"/>
    </row>
    <row r="168" spans="1:38" ht="14.5">
      <c r="A168" s="40">
        <v>2004</v>
      </c>
      <c r="B168" s="41" t="s">
        <v>582</v>
      </c>
      <c r="C168" s="41" t="s">
        <v>583</v>
      </c>
      <c r="D168" s="41" t="s">
        <v>105</v>
      </c>
      <c r="E168" s="40">
        <v>12</v>
      </c>
      <c r="H168" s="43"/>
      <c r="I168" s="117"/>
      <c r="J168" s="43"/>
      <c r="K168" s="44"/>
      <c r="L168" s="45"/>
      <c r="M168" s="43"/>
      <c r="N168" s="46"/>
      <c r="O168" s="46"/>
      <c r="P168" s="45"/>
      <c r="Q168" s="45"/>
      <c r="R168" s="45"/>
      <c r="S168" s="43"/>
      <c r="T168" s="43"/>
      <c r="U168" s="43"/>
      <c r="V168" s="43"/>
      <c r="W168" s="43"/>
      <c r="X168" s="43"/>
      <c r="Y168" s="43"/>
      <c r="Z168" s="43"/>
      <c r="AA168" s="43"/>
      <c r="AB168" s="43"/>
      <c r="AC168" s="43">
        <f>AVERAGE(AC159:AC167)</f>
        <v>738.22222222222217</v>
      </c>
      <c r="AD168" s="43"/>
      <c r="AE168" s="48"/>
      <c r="AF168" s="48"/>
      <c r="AG168" s="48"/>
      <c r="AH168" s="50"/>
    </row>
    <row r="169" spans="1:38" ht="14.5">
      <c r="A169" s="40">
        <v>2005</v>
      </c>
      <c r="B169" s="41" t="s">
        <v>582</v>
      </c>
      <c r="C169" s="41" t="s">
        <v>583</v>
      </c>
      <c r="D169" s="41" t="s">
        <v>105</v>
      </c>
      <c r="E169" s="40">
        <v>12</v>
      </c>
      <c r="H169" s="43"/>
      <c r="I169" s="117"/>
      <c r="J169" s="43"/>
      <c r="K169" s="44"/>
      <c r="L169" s="45"/>
      <c r="M169" s="43"/>
      <c r="N169" s="46"/>
      <c r="O169" s="46"/>
      <c r="P169" s="45"/>
      <c r="Q169" s="45"/>
      <c r="R169" s="45"/>
      <c r="S169" s="43"/>
      <c r="T169" s="43"/>
      <c r="U169" s="43"/>
      <c r="V169" s="43"/>
      <c r="W169" s="43"/>
      <c r="X169" s="43"/>
      <c r="Y169" s="43"/>
      <c r="Z169" s="43"/>
      <c r="AA169" s="43"/>
      <c r="AB169" s="43"/>
      <c r="AC169" s="43"/>
      <c r="AD169" s="43"/>
      <c r="AE169" s="48"/>
      <c r="AF169" s="48"/>
      <c r="AG169" s="48"/>
      <c r="AH169" s="50"/>
    </row>
    <row r="170" spans="1:38" ht="14.5">
      <c r="A170" s="40">
        <v>2006</v>
      </c>
      <c r="B170" s="41" t="s">
        <v>582</v>
      </c>
      <c r="C170" s="41" t="s">
        <v>583</v>
      </c>
      <c r="D170" s="41" t="s">
        <v>105</v>
      </c>
      <c r="E170" s="40">
        <v>12</v>
      </c>
      <c r="H170" s="43"/>
      <c r="I170" s="117"/>
      <c r="J170" s="43"/>
      <c r="K170" s="44"/>
      <c r="L170" s="45"/>
      <c r="M170" s="43"/>
      <c r="N170" s="46"/>
      <c r="O170" s="46"/>
      <c r="P170" s="45"/>
      <c r="Q170" s="45"/>
      <c r="R170" s="45"/>
      <c r="S170" s="43"/>
      <c r="T170" s="43"/>
      <c r="U170" s="43"/>
      <c r="V170" s="43"/>
      <c r="W170" s="43"/>
      <c r="X170" s="43"/>
      <c r="Y170" s="43"/>
      <c r="Z170" s="43"/>
      <c r="AA170" s="43"/>
      <c r="AB170" s="43"/>
      <c r="AC170" s="43"/>
      <c r="AD170" s="43"/>
      <c r="AE170" s="48"/>
      <c r="AF170" s="48"/>
      <c r="AG170" s="48"/>
      <c r="AH170" s="50"/>
    </row>
    <row r="171" spans="1:38" ht="14.5">
      <c r="A171" s="40">
        <v>2007</v>
      </c>
      <c r="B171" s="41" t="s">
        <v>582</v>
      </c>
      <c r="C171" s="41" t="s">
        <v>583</v>
      </c>
      <c r="D171" s="41" t="s">
        <v>105</v>
      </c>
      <c r="E171" s="40">
        <v>12</v>
      </c>
      <c r="H171" s="43"/>
      <c r="I171" s="117"/>
      <c r="J171" s="43"/>
      <c r="K171" s="44"/>
      <c r="L171" s="45"/>
      <c r="M171" s="43"/>
      <c r="N171" s="46"/>
      <c r="O171" s="46"/>
      <c r="P171" s="45"/>
      <c r="Q171" s="45"/>
      <c r="R171" s="45"/>
      <c r="S171" s="43"/>
      <c r="T171" s="43"/>
      <c r="U171" s="43"/>
      <c r="V171" s="43"/>
      <c r="W171" s="43"/>
      <c r="X171" s="43"/>
      <c r="Y171" s="43"/>
      <c r="Z171" s="43"/>
      <c r="AA171" s="43"/>
      <c r="AB171" s="43"/>
      <c r="AC171" s="43"/>
      <c r="AD171" s="43"/>
      <c r="AE171" s="48"/>
      <c r="AF171" s="48"/>
      <c r="AG171" s="48"/>
      <c r="AH171" s="50"/>
    </row>
    <row r="172" spans="1:38" ht="14.5">
      <c r="A172" s="40">
        <v>2008</v>
      </c>
      <c r="B172" s="41" t="s">
        <v>582</v>
      </c>
      <c r="C172" s="41" t="s">
        <v>583</v>
      </c>
      <c r="D172" s="41" t="s">
        <v>105</v>
      </c>
      <c r="E172" s="40">
        <v>12</v>
      </c>
      <c r="H172" s="43"/>
      <c r="I172" s="117"/>
      <c r="J172" s="43"/>
      <c r="K172" s="44"/>
      <c r="L172" s="45"/>
      <c r="M172" s="43"/>
      <c r="N172" s="46"/>
      <c r="O172" s="46"/>
      <c r="P172" s="45"/>
      <c r="Q172" s="45"/>
      <c r="R172" s="45"/>
      <c r="S172" s="43"/>
      <c r="T172" s="43"/>
      <c r="U172" s="43"/>
      <c r="V172" s="43"/>
      <c r="W172" s="43"/>
      <c r="X172" s="43"/>
      <c r="Y172" s="43"/>
      <c r="Z172" s="43"/>
      <c r="AA172" s="43"/>
      <c r="AB172" s="43"/>
      <c r="AC172" s="43"/>
      <c r="AD172" s="43"/>
      <c r="AE172" s="48"/>
      <c r="AF172" s="48"/>
      <c r="AG172" s="48"/>
      <c r="AH172" s="50"/>
    </row>
    <row r="173" spans="1:38" ht="14.5">
      <c r="A173" s="40">
        <v>2009</v>
      </c>
      <c r="B173" s="41" t="s">
        <v>582</v>
      </c>
      <c r="C173" s="41" t="s">
        <v>583</v>
      </c>
      <c r="D173" s="41" t="s">
        <v>105</v>
      </c>
      <c r="E173" s="40">
        <v>12</v>
      </c>
      <c r="H173" s="43"/>
      <c r="I173" s="117"/>
      <c r="J173" s="43"/>
      <c r="K173" s="44"/>
      <c r="L173" s="45"/>
      <c r="M173" s="43"/>
      <c r="N173" s="46"/>
      <c r="O173" s="46"/>
      <c r="P173" s="45"/>
      <c r="Q173" s="45"/>
      <c r="R173" s="45"/>
      <c r="S173" s="43"/>
      <c r="T173" s="43"/>
      <c r="U173" s="43"/>
      <c r="V173" s="43"/>
      <c r="W173" s="43"/>
      <c r="X173" s="43"/>
      <c r="Y173" s="43"/>
      <c r="Z173" s="43"/>
      <c r="AA173" s="43"/>
      <c r="AB173" s="43"/>
      <c r="AC173" s="43"/>
      <c r="AD173" s="43"/>
      <c r="AE173" s="48"/>
      <c r="AF173" s="48"/>
      <c r="AG173" s="48"/>
      <c r="AH173" s="50"/>
    </row>
    <row r="174" spans="1:38" ht="14.5">
      <c r="A174" s="40">
        <v>2010</v>
      </c>
      <c r="B174" s="41" t="s">
        <v>582</v>
      </c>
      <c r="C174" s="41" t="s">
        <v>583</v>
      </c>
      <c r="D174" s="41" t="s">
        <v>105</v>
      </c>
      <c r="E174" s="40">
        <v>12</v>
      </c>
      <c r="H174" s="43"/>
      <c r="I174" s="117"/>
      <c r="J174" s="43"/>
      <c r="K174" s="44"/>
      <c r="L174" s="45"/>
      <c r="M174" s="43"/>
      <c r="N174" s="46"/>
      <c r="O174" s="46"/>
      <c r="P174" s="45"/>
      <c r="Q174" s="45"/>
      <c r="R174" s="45"/>
      <c r="S174" s="43"/>
      <c r="T174" s="43"/>
      <c r="U174" s="43"/>
      <c r="V174" s="43"/>
      <c r="W174" s="43"/>
      <c r="X174" s="43"/>
      <c r="Y174" s="43"/>
      <c r="Z174" s="43"/>
      <c r="AA174" s="43"/>
      <c r="AB174" s="43"/>
      <c r="AC174" s="43"/>
      <c r="AD174" s="43"/>
      <c r="AE174" s="48"/>
      <c r="AF174" s="48"/>
      <c r="AG174" s="48"/>
      <c r="AH174" s="50"/>
    </row>
    <row r="175" spans="1:38" ht="14.5">
      <c r="A175" s="40">
        <v>2011</v>
      </c>
      <c r="B175" s="41" t="s">
        <v>582</v>
      </c>
      <c r="C175" s="41" t="s">
        <v>583</v>
      </c>
      <c r="D175" s="41" t="s">
        <v>105</v>
      </c>
      <c r="E175" s="40">
        <v>12</v>
      </c>
      <c r="H175" s="43"/>
      <c r="I175" s="117"/>
      <c r="J175" s="43"/>
      <c r="K175" s="44"/>
      <c r="L175" s="45"/>
      <c r="M175" s="43"/>
      <c r="N175" s="46"/>
      <c r="O175" s="46"/>
      <c r="P175" s="45"/>
      <c r="Q175" s="45"/>
      <c r="R175" s="45"/>
      <c r="S175" s="43"/>
      <c r="T175" s="43"/>
      <c r="U175" s="43"/>
      <c r="V175" s="43"/>
      <c r="W175" s="43"/>
      <c r="X175" s="43"/>
      <c r="Y175" s="43"/>
      <c r="Z175" s="43"/>
      <c r="AA175" s="43"/>
      <c r="AB175" s="43"/>
      <c r="AC175" s="43"/>
      <c r="AD175" s="43"/>
      <c r="AE175" s="48"/>
      <c r="AF175" s="48"/>
      <c r="AG175" s="48"/>
      <c r="AH175" s="50"/>
    </row>
    <row r="176" spans="1:38" ht="14.5">
      <c r="A176" s="40">
        <v>2012</v>
      </c>
      <c r="B176" s="41" t="s">
        <v>582</v>
      </c>
      <c r="C176" s="41" t="s">
        <v>583</v>
      </c>
      <c r="D176" s="41" t="s">
        <v>105</v>
      </c>
      <c r="E176" s="40">
        <v>12</v>
      </c>
      <c r="H176" s="43"/>
      <c r="I176" s="117"/>
      <c r="J176" s="43"/>
      <c r="K176" s="44"/>
      <c r="L176" s="45"/>
      <c r="M176" s="43"/>
      <c r="N176" s="46"/>
      <c r="O176" s="46"/>
      <c r="P176" s="45"/>
      <c r="Q176" s="45"/>
      <c r="R176" s="45"/>
      <c r="S176" s="43"/>
      <c r="T176" s="43"/>
      <c r="U176" s="43"/>
      <c r="V176" s="43"/>
      <c r="W176" s="43"/>
      <c r="X176" s="43"/>
      <c r="Y176" s="43"/>
      <c r="Z176" s="43"/>
      <c r="AA176" s="43"/>
      <c r="AB176" s="43"/>
      <c r="AC176" s="43"/>
      <c r="AD176" s="43"/>
      <c r="AE176" s="48"/>
      <c r="AF176" s="48"/>
      <c r="AG176" s="48"/>
      <c r="AH176" s="50"/>
    </row>
    <row r="177" spans="1:34" ht="14.5">
      <c r="A177" s="40">
        <v>2013</v>
      </c>
      <c r="B177" s="41" t="s">
        <v>582</v>
      </c>
      <c r="C177" s="41" t="s">
        <v>583</v>
      </c>
      <c r="D177" s="41" t="s">
        <v>105</v>
      </c>
      <c r="E177" s="40">
        <v>12</v>
      </c>
      <c r="H177" s="43"/>
      <c r="I177" s="117"/>
      <c r="J177" s="43"/>
      <c r="K177" s="44"/>
      <c r="L177" s="45"/>
      <c r="M177" s="43"/>
      <c r="N177" s="46"/>
      <c r="O177" s="46"/>
      <c r="P177" s="45"/>
      <c r="Q177" s="45"/>
      <c r="R177" s="45"/>
      <c r="S177" s="43"/>
      <c r="T177" s="43"/>
      <c r="U177" s="43"/>
      <c r="V177" s="43"/>
      <c r="W177" s="43"/>
      <c r="X177" s="43"/>
      <c r="Y177" s="43"/>
      <c r="Z177" s="43"/>
      <c r="AA177" s="43"/>
      <c r="AB177" s="43"/>
      <c r="AC177" s="43"/>
      <c r="AD177" s="43"/>
      <c r="AE177" s="48"/>
      <c r="AF177" s="48"/>
      <c r="AG177" s="48"/>
      <c r="AH177" s="50"/>
    </row>
    <row r="178" spans="1:34" ht="14.5">
      <c r="A178" s="40">
        <v>2014</v>
      </c>
      <c r="B178" s="41" t="s">
        <v>582</v>
      </c>
      <c r="C178" s="41" t="s">
        <v>583</v>
      </c>
      <c r="D178" s="41" t="s">
        <v>105</v>
      </c>
      <c r="E178" s="40">
        <v>12</v>
      </c>
      <c r="H178" s="43"/>
      <c r="I178" s="117"/>
      <c r="J178" s="43"/>
      <c r="K178" s="44"/>
      <c r="L178" s="45"/>
      <c r="M178" s="43"/>
      <c r="N178" s="46"/>
      <c r="O178" s="46"/>
      <c r="P178" s="45"/>
      <c r="Q178" s="45"/>
      <c r="R178" s="45"/>
      <c r="S178" s="43"/>
      <c r="T178" s="43"/>
      <c r="U178" s="43"/>
      <c r="V178" s="43"/>
      <c r="W178" s="43"/>
      <c r="X178" s="43"/>
      <c r="Y178" s="43"/>
      <c r="Z178" s="43"/>
      <c r="AA178" s="43"/>
      <c r="AB178" s="43"/>
      <c r="AC178" s="43"/>
      <c r="AD178" s="43"/>
      <c r="AE178" s="48"/>
      <c r="AF178" s="48"/>
      <c r="AG178" s="48"/>
      <c r="AH178" s="50"/>
    </row>
    <row r="179" spans="1:34" ht="14.5">
      <c r="A179" s="40">
        <v>2015</v>
      </c>
      <c r="B179" s="41" t="s">
        <v>582</v>
      </c>
      <c r="C179" s="41" t="s">
        <v>583</v>
      </c>
      <c r="D179" s="41" t="s">
        <v>105</v>
      </c>
      <c r="E179" s="40">
        <v>12</v>
      </c>
      <c r="H179" s="43"/>
      <c r="I179" s="117"/>
      <c r="J179" s="43"/>
      <c r="K179" s="44"/>
      <c r="L179" s="45"/>
      <c r="M179" s="43"/>
      <c r="N179" s="46"/>
      <c r="O179" s="46"/>
      <c r="P179" s="45"/>
      <c r="Q179" s="45"/>
      <c r="R179" s="45"/>
      <c r="S179" s="43"/>
      <c r="T179" s="43"/>
      <c r="U179" s="43"/>
      <c r="V179" s="43"/>
      <c r="W179" s="43"/>
      <c r="X179" s="43"/>
      <c r="Y179" s="43"/>
      <c r="Z179" s="43"/>
      <c r="AA179" s="43"/>
      <c r="AB179" s="43"/>
      <c r="AC179" s="43"/>
      <c r="AD179" s="43"/>
      <c r="AE179" s="48"/>
      <c r="AF179" s="48"/>
      <c r="AG179" s="48"/>
      <c r="AH179" s="50"/>
    </row>
    <row r="180" spans="1:34" ht="14.5">
      <c r="A180" s="40">
        <v>2016</v>
      </c>
      <c r="B180" s="41" t="s">
        <v>582</v>
      </c>
      <c r="C180" s="41" t="s">
        <v>583</v>
      </c>
      <c r="D180" s="41" t="s">
        <v>105</v>
      </c>
      <c r="E180" s="40">
        <v>12</v>
      </c>
      <c r="H180" s="43"/>
      <c r="I180" s="117"/>
      <c r="J180" s="43"/>
      <c r="K180" s="44"/>
      <c r="L180" s="45"/>
      <c r="M180" s="43"/>
      <c r="N180" s="46"/>
      <c r="O180" s="46"/>
      <c r="P180" s="45"/>
      <c r="Q180" s="45"/>
      <c r="R180" s="45"/>
      <c r="S180" s="43"/>
      <c r="T180" s="43"/>
      <c r="U180" s="43"/>
      <c r="V180" s="43"/>
      <c r="W180" s="43"/>
      <c r="X180" s="43"/>
      <c r="Y180" s="43"/>
      <c r="Z180" s="43"/>
      <c r="AA180" s="43"/>
      <c r="AB180" s="43"/>
      <c r="AC180" s="43"/>
      <c r="AD180" s="43"/>
      <c r="AE180" s="48"/>
      <c r="AF180" s="48"/>
      <c r="AG180" s="48"/>
      <c r="AH180" s="50"/>
    </row>
    <row r="181" spans="1:34" ht="14.5">
      <c r="A181" s="40">
        <v>2017</v>
      </c>
      <c r="B181" s="41" t="s">
        <v>582</v>
      </c>
      <c r="C181" s="41" t="s">
        <v>583</v>
      </c>
      <c r="D181" s="41" t="s">
        <v>105</v>
      </c>
      <c r="E181" s="40">
        <v>12</v>
      </c>
      <c r="H181" s="43"/>
      <c r="I181" s="117"/>
      <c r="J181" s="43"/>
      <c r="K181" s="44"/>
      <c r="L181" s="45"/>
      <c r="M181" s="43"/>
      <c r="N181" s="46"/>
      <c r="O181" s="46"/>
      <c r="P181" s="45"/>
      <c r="Q181" s="45"/>
      <c r="R181" s="45"/>
      <c r="S181" s="43"/>
      <c r="T181" s="43"/>
      <c r="U181" s="43"/>
      <c r="V181" s="43"/>
      <c r="W181" s="43"/>
      <c r="X181" s="43"/>
      <c r="Y181" s="43"/>
      <c r="Z181" s="43"/>
      <c r="AA181" s="43"/>
      <c r="AB181" s="43"/>
      <c r="AC181" s="43"/>
      <c r="AD181" s="43"/>
      <c r="AE181" s="48"/>
      <c r="AF181" s="48"/>
      <c r="AG181" s="48"/>
      <c r="AH181" s="50"/>
    </row>
    <row r="182" spans="1:34" ht="14.5">
      <c r="A182" s="40">
        <v>2004</v>
      </c>
      <c r="B182" s="41" t="s">
        <v>593</v>
      </c>
      <c r="C182" s="41" t="s">
        <v>594</v>
      </c>
      <c r="D182" s="41" t="s">
        <v>363</v>
      </c>
      <c r="E182" s="40">
        <v>12</v>
      </c>
      <c r="H182" s="43"/>
      <c r="I182" s="117"/>
      <c r="J182" s="43"/>
      <c r="K182" s="44"/>
      <c r="L182" s="45"/>
      <c r="M182" s="43"/>
      <c r="N182" s="46"/>
      <c r="O182" s="46"/>
      <c r="P182" s="45"/>
      <c r="Q182" s="45"/>
      <c r="R182" s="45"/>
      <c r="S182" s="43"/>
      <c r="T182" s="43"/>
      <c r="U182" s="43"/>
      <c r="V182" s="43"/>
      <c r="W182" s="43"/>
      <c r="X182" s="43"/>
      <c r="Y182" s="43"/>
      <c r="Z182" s="43"/>
      <c r="AA182" s="43"/>
      <c r="AB182" s="43"/>
      <c r="AC182" s="43"/>
      <c r="AD182" s="43"/>
      <c r="AE182" s="48"/>
      <c r="AF182" s="48"/>
      <c r="AG182" s="48"/>
      <c r="AH182" s="50"/>
    </row>
    <row r="183" spans="1:34" ht="14.5">
      <c r="A183" s="40">
        <v>2005</v>
      </c>
      <c r="B183" s="41" t="s">
        <v>593</v>
      </c>
      <c r="C183" s="41" t="s">
        <v>594</v>
      </c>
      <c r="D183" s="41" t="s">
        <v>363</v>
      </c>
      <c r="E183" s="40">
        <v>12</v>
      </c>
      <c r="H183" s="43"/>
      <c r="I183" s="117"/>
      <c r="J183" s="43"/>
      <c r="K183" s="44"/>
      <c r="L183" s="45"/>
      <c r="M183" s="43"/>
      <c r="N183" s="46"/>
      <c r="O183" s="46"/>
      <c r="P183" s="45"/>
      <c r="Q183" s="45"/>
      <c r="R183" s="45"/>
      <c r="S183" s="43"/>
      <c r="T183" s="43"/>
      <c r="U183" s="43"/>
      <c r="V183" s="43"/>
      <c r="W183" s="43"/>
      <c r="X183" s="43"/>
      <c r="Y183" s="43"/>
      <c r="Z183" s="43"/>
      <c r="AA183" s="43"/>
      <c r="AB183" s="43"/>
      <c r="AC183" s="43"/>
      <c r="AD183" s="43"/>
      <c r="AE183" s="48"/>
      <c r="AF183" s="48"/>
      <c r="AG183" s="48"/>
      <c r="AH183" s="50"/>
    </row>
    <row r="184" spans="1:34" ht="14.5">
      <c r="A184" s="40">
        <v>2006</v>
      </c>
      <c r="B184" s="41" t="s">
        <v>593</v>
      </c>
      <c r="C184" s="41" t="s">
        <v>594</v>
      </c>
      <c r="D184" s="41" t="s">
        <v>363</v>
      </c>
      <c r="E184" s="40">
        <v>12</v>
      </c>
      <c r="H184" s="43"/>
      <c r="I184" s="117"/>
      <c r="J184" s="43"/>
      <c r="K184" s="44"/>
      <c r="L184" s="45"/>
      <c r="M184" s="43"/>
      <c r="N184" s="46"/>
      <c r="O184" s="46"/>
      <c r="P184" s="45"/>
      <c r="Q184" s="45"/>
      <c r="R184" s="45"/>
      <c r="S184" s="43"/>
      <c r="T184" s="43"/>
      <c r="U184" s="43"/>
      <c r="V184" s="43"/>
      <c r="W184" s="43"/>
      <c r="X184" s="43"/>
      <c r="Y184" s="43"/>
      <c r="Z184" s="43"/>
      <c r="AA184" s="43"/>
      <c r="AB184" s="43"/>
      <c r="AC184" s="43"/>
      <c r="AD184" s="43"/>
      <c r="AE184" s="48"/>
      <c r="AF184" s="48"/>
      <c r="AG184" s="48"/>
      <c r="AH184" s="50"/>
    </row>
    <row r="185" spans="1:34" ht="14.5">
      <c r="A185" s="40">
        <v>2007</v>
      </c>
      <c r="B185" s="41" t="s">
        <v>593</v>
      </c>
      <c r="C185" s="41" t="s">
        <v>594</v>
      </c>
      <c r="D185" s="41" t="s">
        <v>363</v>
      </c>
      <c r="E185" s="40">
        <v>12</v>
      </c>
      <c r="H185" s="43"/>
      <c r="I185" s="117"/>
      <c r="J185" s="43"/>
      <c r="K185" s="44"/>
      <c r="L185" s="45"/>
      <c r="M185" s="43"/>
      <c r="N185" s="46"/>
      <c r="O185" s="46"/>
      <c r="P185" s="45"/>
      <c r="Q185" s="45"/>
      <c r="R185" s="45"/>
      <c r="S185" s="43"/>
      <c r="T185" s="43"/>
      <c r="U185" s="43"/>
      <c r="V185" s="43"/>
      <c r="W185" s="43"/>
      <c r="X185" s="43"/>
      <c r="Y185" s="43"/>
      <c r="Z185" s="43"/>
      <c r="AA185" s="43"/>
      <c r="AB185" s="43"/>
      <c r="AC185" s="43"/>
      <c r="AD185" s="43"/>
      <c r="AE185" s="48"/>
      <c r="AF185" s="48"/>
      <c r="AG185" s="48"/>
      <c r="AH185" s="50"/>
    </row>
    <row r="186" spans="1:34" ht="14.5">
      <c r="A186" s="40">
        <v>2008</v>
      </c>
      <c r="B186" s="41" t="s">
        <v>593</v>
      </c>
      <c r="C186" s="41" t="s">
        <v>594</v>
      </c>
      <c r="D186" s="41" t="s">
        <v>363</v>
      </c>
      <c r="E186" s="40">
        <v>12</v>
      </c>
      <c r="H186" s="43"/>
      <c r="I186" s="117"/>
      <c r="J186" s="43"/>
      <c r="K186" s="44"/>
      <c r="L186" s="45"/>
      <c r="M186" s="43"/>
      <c r="N186" s="46"/>
      <c r="O186" s="46"/>
      <c r="P186" s="45"/>
      <c r="Q186" s="45"/>
      <c r="R186" s="45"/>
      <c r="S186" s="43"/>
      <c r="T186" s="43"/>
      <c r="U186" s="43"/>
      <c r="V186" s="43"/>
      <c r="W186" s="43"/>
      <c r="X186" s="43"/>
      <c r="Y186" s="43"/>
      <c r="Z186" s="43"/>
      <c r="AA186" s="43"/>
      <c r="AB186" s="43"/>
      <c r="AC186" s="43"/>
      <c r="AD186" s="43"/>
      <c r="AE186" s="48"/>
      <c r="AF186" s="48"/>
      <c r="AG186" s="48"/>
      <c r="AH186" s="50"/>
    </row>
    <row r="187" spans="1:34" ht="14.5">
      <c r="A187" s="40">
        <v>2009</v>
      </c>
      <c r="B187" s="41" t="s">
        <v>593</v>
      </c>
      <c r="C187" s="41" t="s">
        <v>594</v>
      </c>
      <c r="D187" s="41" t="s">
        <v>363</v>
      </c>
      <c r="E187" s="40">
        <v>12</v>
      </c>
      <c r="H187" s="43"/>
      <c r="I187" s="117"/>
      <c r="J187" s="43"/>
      <c r="K187" s="44"/>
      <c r="L187" s="45"/>
      <c r="M187" s="43"/>
      <c r="N187" s="46"/>
      <c r="O187" s="46"/>
      <c r="P187" s="45"/>
      <c r="Q187" s="45"/>
      <c r="R187" s="45"/>
      <c r="S187" s="43"/>
      <c r="T187" s="43"/>
      <c r="U187" s="43"/>
      <c r="V187" s="43"/>
      <c r="W187" s="43"/>
      <c r="X187" s="43"/>
      <c r="Y187" s="43"/>
      <c r="Z187" s="43"/>
      <c r="AA187" s="43"/>
      <c r="AB187" s="43"/>
      <c r="AC187" s="43"/>
      <c r="AD187" s="43"/>
      <c r="AE187" s="48"/>
      <c r="AF187" s="48"/>
      <c r="AG187" s="48"/>
      <c r="AH187" s="50"/>
    </row>
    <row r="188" spans="1:34" ht="14.5">
      <c r="A188" s="40">
        <v>2010</v>
      </c>
      <c r="B188" s="41" t="s">
        <v>593</v>
      </c>
      <c r="C188" s="41" t="s">
        <v>594</v>
      </c>
      <c r="D188" s="41" t="s">
        <v>363</v>
      </c>
      <c r="E188" s="40">
        <v>12</v>
      </c>
      <c r="H188" s="43"/>
      <c r="I188" s="117"/>
      <c r="J188" s="43"/>
      <c r="K188" s="44"/>
      <c r="L188" s="45"/>
      <c r="M188" s="43"/>
      <c r="N188" s="46"/>
      <c r="O188" s="46"/>
      <c r="P188" s="45"/>
      <c r="Q188" s="45"/>
      <c r="R188" s="45"/>
      <c r="S188" s="43"/>
      <c r="T188" s="43"/>
      <c r="U188" s="43"/>
      <c r="V188" s="43"/>
      <c r="W188" s="43"/>
      <c r="X188" s="43"/>
      <c r="Y188" s="43"/>
      <c r="Z188" s="43"/>
      <c r="AA188" s="43"/>
      <c r="AB188" s="43"/>
      <c r="AC188" s="43"/>
      <c r="AD188" s="43"/>
      <c r="AE188" s="48"/>
      <c r="AF188" s="48"/>
      <c r="AG188" s="48"/>
      <c r="AH188" s="50"/>
    </row>
    <row r="189" spans="1:34" ht="14.5">
      <c r="A189" s="40">
        <v>2011</v>
      </c>
      <c r="B189" s="41" t="s">
        <v>593</v>
      </c>
      <c r="C189" s="41" t="s">
        <v>594</v>
      </c>
      <c r="D189" s="41" t="s">
        <v>363</v>
      </c>
      <c r="E189" s="40">
        <v>12</v>
      </c>
      <c r="H189" s="43"/>
      <c r="I189" s="117"/>
      <c r="J189" s="43"/>
      <c r="K189" s="44"/>
      <c r="L189" s="45"/>
      <c r="M189" s="43"/>
      <c r="N189" s="46"/>
      <c r="O189" s="46"/>
      <c r="P189" s="45"/>
      <c r="Q189" s="45"/>
      <c r="R189" s="45"/>
      <c r="S189" s="43"/>
      <c r="T189" s="43"/>
      <c r="U189" s="43"/>
      <c r="V189" s="43"/>
      <c r="W189" s="43"/>
      <c r="X189" s="43"/>
      <c r="Y189" s="43"/>
      <c r="Z189" s="43"/>
      <c r="AA189" s="43"/>
      <c r="AB189" s="43"/>
      <c r="AC189" s="43"/>
      <c r="AD189" s="43"/>
      <c r="AE189" s="48"/>
      <c r="AF189" s="48"/>
      <c r="AG189" s="48"/>
      <c r="AH189" s="50"/>
    </row>
    <row r="190" spans="1:34" ht="14.5">
      <c r="A190" s="40">
        <v>2012</v>
      </c>
      <c r="B190" s="41" t="s">
        <v>593</v>
      </c>
      <c r="C190" s="41" t="s">
        <v>594</v>
      </c>
      <c r="D190" s="41" t="s">
        <v>363</v>
      </c>
      <c r="E190" s="40">
        <v>12</v>
      </c>
      <c r="H190" s="43"/>
      <c r="I190" s="117"/>
      <c r="J190" s="43"/>
      <c r="K190" s="44"/>
      <c r="L190" s="45"/>
      <c r="M190" s="43"/>
      <c r="N190" s="46"/>
      <c r="O190" s="46"/>
      <c r="P190" s="45"/>
      <c r="Q190" s="45"/>
      <c r="R190" s="45"/>
      <c r="S190" s="43"/>
      <c r="T190" s="43"/>
      <c r="U190" s="43"/>
      <c r="V190" s="43"/>
      <c r="W190" s="43"/>
      <c r="X190" s="43"/>
      <c r="Y190" s="43"/>
      <c r="Z190" s="43"/>
      <c r="AA190" s="43"/>
      <c r="AB190" s="43"/>
      <c r="AC190" s="43"/>
      <c r="AD190" s="43"/>
      <c r="AE190" s="48"/>
      <c r="AF190" s="48"/>
      <c r="AG190" s="48"/>
      <c r="AH190" s="50"/>
    </row>
    <row r="191" spans="1:34" ht="14.5">
      <c r="A191" s="40">
        <v>2013</v>
      </c>
      <c r="B191" s="41" t="s">
        <v>593</v>
      </c>
      <c r="C191" s="41" t="s">
        <v>594</v>
      </c>
      <c r="D191" s="41" t="s">
        <v>105</v>
      </c>
      <c r="E191" s="40">
        <v>12</v>
      </c>
      <c r="H191" s="43"/>
      <c r="I191" s="117"/>
      <c r="J191" s="43"/>
      <c r="K191" s="44"/>
      <c r="L191" s="45"/>
      <c r="M191" s="43"/>
      <c r="N191" s="46"/>
      <c r="O191" s="46"/>
      <c r="P191" s="45"/>
      <c r="Q191" s="45"/>
      <c r="R191" s="45"/>
      <c r="S191" s="43"/>
      <c r="T191" s="43"/>
      <c r="U191" s="43"/>
      <c r="V191" s="43"/>
      <c r="W191" s="43"/>
      <c r="X191" s="43"/>
      <c r="Y191" s="43"/>
      <c r="Z191" s="43"/>
      <c r="AA191" s="43"/>
      <c r="AB191" s="43"/>
      <c r="AC191" s="43"/>
      <c r="AD191" s="43"/>
      <c r="AE191" s="48"/>
      <c r="AF191" s="48"/>
      <c r="AG191" s="48"/>
      <c r="AH191" s="50"/>
    </row>
    <row r="192" spans="1:34" ht="14.5">
      <c r="A192" s="40">
        <v>2014</v>
      </c>
      <c r="B192" s="41" t="s">
        <v>593</v>
      </c>
      <c r="C192" s="41" t="s">
        <v>594</v>
      </c>
      <c r="D192" s="41" t="s">
        <v>105</v>
      </c>
      <c r="E192" s="40">
        <v>12</v>
      </c>
      <c r="H192" s="43"/>
      <c r="I192" s="117"/>
      <c r="J192" s="43"/>
      <c r="K192" s="44"/>
      <c r="L192" s="45"/>
      <c r="M192" s="43"/>
      <c r="N192" s="46"/>
      <c r="O192" s="46"/>
      <c r="P192" s="45"/>
      <c r="Q192" s="45"/>
      <c r="R192" s="45"/>
      <c r="S192" s="43"/>
      <c r="T192" s="43"/>
      <c r="U192" s="43"/>
      <c r="V192" s="43"/>
      <c r="W192" s="43"/>
      <c r="X192" s="43"/>
      <c r="Y192" s="43"/>
      <c r="Z192" s="43"/>
      <c r="AA192" s="43"/>
      <c r="AB192" s="43"/>
      <c r="AC192" s="43"/>
      <c r="AD192" s="43"/>
      <c r="AE192" s="48"/>
      <c r="AF192" s="48"/>
      <c r="AG192" s="48"/>
      <c r="AH192" s="50"/>
    </row>
    <row r="193" spans="1:34" ht="14.5">
      <c r="A193" s="40">
        <v>2015</v>
      </c>
      <c r="B193" s="41" t="s">
        <v>593</v>
      </c>
      <c r="C193" s="41" t="s">
        <v>594</v>
      </c>
      <c r="D193" s="41" t="s">
        <v>105</v>
      </c>
      <c r="E193" s="40">
        <v>12</v>
      </c>
      <c r="H193" s="43"/>
      <c r="I193" s="117"/>
      <c r="J193" s="43"/>
      <c r="K193" s="44"/>
      <c r="L193" s="45"/>
      <c r="M193" s="43"/>
      <c r="N193" s="46"/>
      <c r="O193" s="46"/>
      <c r="P193" s="45"/>
      <c r="Q193" s="45"/>
      <c r="R193" s="45"/>
      <c r="S193" s="43"/>
      <c r="T193" s="43"/>
      <c r="U193" s="43"/>
      <c r="V193" s="43"/>
      <c r="W193" s="43"/>
      <c r="X193" s="43"/>
      <c r="Y193" s="43"/>
      <c r="Z193" s="43"/>
      <c r="AA193" s="43"/>
      <c r="AB193" s="43"/>
      <c r="AC193" s="43"/>
      <c r="AD193" s="43"/>
      <c r="AE193" s="48"/>
      <c r="AF193" s="48"/>
      <c r="AG193" s="48"/>
      <c r="AH193" s="50"/>
    </row>
    <row r="194" spans="1:34" ht="14.5">
      <c r="A194" s="40">
        <v>2016</v>
      </c>
      <c r="B194" s="41" t="s">
        <v>593</v>
      </c>
      <c r="C194" s="41" t="s">
        <v>594</v>
      </c>
      <c r="D194" s="41" t="s">
        <v>105</v>
      </c>
      <c r="E194" s="40">
        <v>12</v>
      </c>
      <c r="H194" s="43"/>
      <c r="I194" s="117"/>
      <c r="J194" s="43"/>
      <c r="K194" s="44"/>
      <c r="L194" s="45"/>
      <c r="M194" s="43"/>
      <c r="N194" s="46"/>
      <c r="O194" s="46"/>
      <c r="P194" s="45"/>
      <c r="Q194" s="45"/>
      <c r="R194" s="45"/>
      <c r="S194" s="43"/>
      <c r="T194" s="43"/>
      <c r="U194" s="43"/>
      <c r="V194" s="43"/>
      <c r="W194" s="43"/>
      <c r="X194" s="43"/>
      <c r="Y194" s="43"/>
      <c r="Z194" s="43"/>
      <c r="AA194" s="43"/>
      <c r="AB194" s="43"/>
      <c r="AC194" s="43"/>
      <c r="AD194" s="43"/>
      <c r="AE194" s="48"/>
      <c r="AF194" s="48"/>
      <c r="AG194" s="48"/>
      <c r="AH194" s="50"/>
    </row>
    <row r="195" spans="1:34" ht="14.5">
      <c r="A195" s="40">
        <v>2017</v>
      </c>
      <c r="B195" s="41" t="s">
        <v>593</v>
      </c>
      <c r="C195" s="41" t="s">
        <v>594</v>
      </c>
      <c r="D195" s="41" t="s">
        <v>105</v>
      </c>
      <c r="E195" s="40">
        <v>12</v>
      </c>
      <c r="H195" s="43"/>
      <c r="I195" s="117"/>
      <c r="J195" s="43"/>
      <c r="K195" s="44"/>
      <c r="L195" s="45"/>
      <c r="M195" s="43"/>
      <c r="N195" s="46"/>
      <c r="O195" s="46"/>
      <c r="P195" s="45"/>
      <c r="Q195" s="45"/>
      <c r="R195" s="45"/>
      <c r="S195" s="43"/>
      <c r="T195" s="43"/>
      <c r="U195" s="43"/>
      <c r="V195" s="43"/>
      <c r="W195" s="43"/>
      <c r="X195" s="43"/>
      <c r="Y195" s="43"/>
      <c r="Z195" s="43"/>
      <c r="AA195" s="43"/>
      <c r="AB195" s="43"/>
      <c r="AC195" s="43"/>
      <c r="AD195" s="43"/>
      <c r="AE195" s="48"/>
      <c r="AF195" s="48"/>
      <c r="AG195" s="48"/>
      <c r="AH195" s="50"/>
    </row>
    <row r="196" spans="1:34" ht="14.5">
      <c r="A196" s="40">
        <v>2004</v>
      </c>
      <c r="B196" s="41" t="s">
        <v>599</v>
      </c>
      <c r="C196" s="41" t="s">
        <v>602</v>
      </c>
      <c r="D196" s="41" t="s">
        <v>105</v>
      </c>
      <c r="E196" s="40">
        <v>14</v>
      </c>
      <c r="H196" s="43"/>
      <c r="I196" s="117"/>
      <c r="J196" s="43"/>
      <c r="K196" s="44"/>
      <c r="L196" s="45"/>
      <c r="M196" s="43"/>
      <c r="N196" s="46"/>
      <c r="O196" s="46"/>
      <c r="P196" s="45"/>
      <c r="Q196" s="45"/>
      <c r="R196" s="45"/>
      <c r="S196" s="43"/>
      <c r="T196" s="43"/>
      <c r="U196" s="43"/>
      <c r="V196" s="43"/>
      <c r="W196" s="43"/>
      <c r="X196" s="43"/>
      <c r="Y196" s="43"/>
      <c r="Z196" s="43"/>
      <c r="AA196" s="43"/>
      <c r="AB196" s="43"/>
      <c r="AC196" s="43"/>
      <c r="AD196" s="43"/>
      <c r="AE196" s="48"/>
      <c r="AF196" s="48"/>
      <c r="AG196" s="48"/>
      <c r="AH196" s="50"/>
    </row>
    <row r="197" spans="1:34" ht="14.5">
      <c r="A197" s="40">
        <v>2005</v>
      </c>
      <c r="B197" s="41" t="s">
        <v>599</v>
      </c>
      <c r="C197" s="41" t="s">
        <v>602</v>
      </c>
      <c r="D197" s="41" t="s">
        <v>105</v>
      </c>
      <c r="E197" s="40">
        <v>14</v>
      </c>
      <c r="H197" s="43"/>
      <c r="I197" s="117"/>
      <c r="J197" s="43"/>
      <c r="K197" s="44"/>
      <c r="L197" s="45"/>
      <c r="M197" s="43"/>
      <c r="N197" s="46"/>
      <c r="O197" s="46"/>
      <c r="P197" s="45"/>
      <c r="Q197" s="45"/>
      <c r="R197" s="45"/>
      <c r="S197" s="43"/>
      <c r="T197" s="43"/>
      <c r="U197" s="43"/>
      <c r="V197" s="43"/>
      <c r="W197" s="43"/>
      <c r="X197" s="43"/>
      <c r="Y197" s="43"/>
      <c r="Z197" s="43"/>
      <c r="AA197" s="43"/>
      <c r="AB197" s="43"/>
      <c r="AC197" s="43"/>
      <c r="AD197" s="43"/>
      <c r="AE197" s="48"/>
      <c r="AF197" s="48"/>
      <c r="AG197" s="48"/>
      <c r="AH197" s="50"/>
    </row>
    <row r="198" spans="1:34" ht="14.5">
      <c r="A198" s="40">
        <v>2006</v>
      </c>
      <c r="B198" s="41" t="s">
        <v>599</v>
      </c>
      <c r="C198" s="41" t="s">
        <v>602</v>
      </c>
      <c r="D198" s="41" t="s">
        <v>105</v>
      </c>
      <c r="E198" s="40">
        <v>14</v>
      </c>
      <c r="H198" s="43"/>
      <c r="I198" s="117"/>
      <c r="J198" s="43"/>
      <c r="K198" s="44"/>
      <c r="L198" s="45"/>
      <c r="M198" s="43"/>
      <c r="N198" s="46"/>
      <c r="O198" s="46"/>
      <c r="P198" s="45"/>
      <c r="Q198" s="45"/>
      <c r="R198" s="45"/>
      <c r="S198" s="43"/>
      <c r="T198" s="43"/>
      <c r="U198" s="43"/>
      <c r="V198" s="43"/>
      <c r="W198" s="43"/>
      <c r="X198" s="43"/>
      <c r="Y198" s="43"/>
      <c r="Z198" s="43"/>
      <c r="AA198" s="43"/>
      <c r="AB198" s="43"/>
      <c r="AC198" s="43"/>
      <c r="AD198" s="43"/>
      <c r="AE198" s="48"/>
      <c r="AF198" s="48"/>
      <c r="AG198" s="48"/>
      <c r="AH198" s="50"/>
    </row>
    <row r="199" spans="1:34" ht="14.5">
      <c r="A199" s="40">
        <v>2007</v>
      </c>
      <c r="B199" s="41" t="s">
        <v>599</v>
      </c>
      <c r="C199" s="41" t="s">
        <v>602</v>
      </c>
      <c r="D199" s="41" t="s">
        <v>105</v>
      </c>
      <c r="E199" s="40">
        <v>14</v>
      </c>
      <c r="H199" s="43"/>
      <c r="I199" s="117"/>
      <c r="J199" s="43"/>
      <c r="K199" s="44"/>
      <c r="L199" s="45"/>
      <c r="M199" s="43"/>
      <c r="N199" s="46"/>
      <c r="O199" s="46"/>
      <c r="P199" s="45"/>
      <c r="Q199" s="45"/>
      <c r="R199" s="45"/>
      <c r="S199" s="43"/>
      <c r="T199" s="43"/>
      <c r="U199" s="43"/>
      <c r="V199" s="43"/>
      <c r="W199" s="43"/>
      <c r="X199" s="43"/>
      <c r="Y199" s="43"/>
      <c r="Z199" s="43"/>
      <c r="AA199" s="43"/>
      <c r="AB199" s="43"/>
      <c r="AC199" s="43"/>
      <c r="AD199" s="43"/>
      <c r="AE199" s="48"/>
      <c r="AF199" s="48"/>
      <c r="AG199" s="48"/>
      <c r="AH199" s="50"/>
    </row>
    <row r="200" spans="1:34" ht="14.5">
      <c r="A200" s="40">
        <v>2008</v>
      </c>
      <c r="B200" s="41" t="s">
        <v>599</v>
      </c>
      <c r="C200" s="41" t="s">
        <v>602</v>
      </c>
      <c r="D200" s="41" t="s">
        <v>105</v>
      </c>
      <c r="E200" s="40">
        <v>14</v>
      </c>
      <c r="H200" s="43"/>
      <c r="I200" s="117"/>
      <c r="J200" s="43"/>
      <c r="K200" s="44"/>
      <c r="L200" s="45"/>
      <c r="M200" s="43"/>
      <c r="N200" s="46"/>
      <c r="O200" s="46"/>
      <c r="P200" s="45"/>
      <c r="Q200" s="45"/>
      <c r="R200" s="45"/>
      <c r="S200" s="43"/>
      <c r="T200" s="43"/>
      <c r="U200" s="43"/>
      <c r="V200" s="43"/>
      <c r="W200" s="43"/>
      <c r="X200" s="43"/>
      <c r="Y200" s="43"/>
      <c r="Z200" s="43"/>
      <c r="AA200" s="43"/>
      <c r="AB200" s="43"/>
      <c r="AC200" s="43"/>
      <c r="AD200" s="43"/>
      <c r="AE200" s="48"/>
      <c r="AF200" s="48"/>
      <c r="AG200" s="48"/>
      <c r="AH200" s="50"/>
    </row>
    <row r="201" spans="1:34" ht="14.5">
      <c r="A201" s="40">
        <v>2009</v>
      </c>
      <c r="B201" s="41" t="s">
        <v>599</v>
      </c>
      <c r="C201" s="41" t="s">
        <v>602</v>
      </c>
      <c r="D201" s="41" t="s">
        <v>105</v>
      </c>
      <c r="E201" s="40">
        <v>14</v>
      </c>
      <c r="H201" s="43"/>
      <c r="I201" s="117"/>
      <c r="J201" s="43"/>
      <c r="K201" s="44"/>
      <c r="L201" s="45"/>
      <c r="M201" s="43"/>
      <c r="N201" s="46"/>
      <c r="O201" s="46"/>
      <c r="P201" s="45"/>
      <c r="Q201" s="45"/>
      <c r="R201" s="45"/>
      <c r="S201" s="43"/>
      <c r="T201" s="43"/>
      <c r="U201" s="43"/>
      <c r="V201" s="43"/>
      <c r="W201" s="43"/>
      <c r="X201" s="43"/>
      <c r="Y201" s="43"/>
      <c r="Z201" s="43"/>
      <c r="AA201" s="43"/>
      <c r="AB201" s="43"/>
      <c r="AC201" s="43"/>
      <c r="AD201" s="43"/>
      <c r="AE201" s="48"/>
      <c r="AF201" s="48"/>
      <c r="AG201" s="48"/>
      <c r="AH201" s="50"/>
    </row>
    <row r="202" spans="1:34" ht="14.5">
      <c r="A202" s="40">
        <v>2010</v>
      </c>
      <c r="B202" s="41" t="s">
        <v>599</v>
      </c>
      <c r="C202" s="41" t="s">
        <v>602</v>
      </c>
      <c r="D202" s="41" t="s">
        <v>105</v>
      </c>
      <c r="E202" s="40">
        <v>14</v>
      </c>
      <c r="H202" s="43"/>
      <c r="I202" s="117"/>
      <c r="J202" s="43"/>
      <c r="K202" s="44"/>
      <c r="L202" s="45"/>
      <c r="M202" s="43"/>
      <c r="N202" s="46"/>
      <c r="O202" s="46"/>
      <c r="P202" s="45"/>
      <c r="Q202" s="45"/>
      <c r="R202" s="45"/>
      <c r="S202" s="43"/>
      <c r="T202" s="43"/>
      <c r="U202" s="43"/>
      <c r="V202" s="43"/>
      <c r="W202" s="43"/>
      <c r="X202" s="43"/>
      <c r="Y202" s="43"/>
      <c r="Z202" s="43"/>
      <c r="AA202" s="43"/>
      <c r="AB202" s="43"/>
      <c r="AC202" s="43"/>
      <c r="AD202" s="43"/>
      <c r="AE202" s="48"/>
      <c r="AF202" s="48"/>
      <c r="AG202" s="48"/>
      <c r="AH202" s="50"/>
    </row>
    <row r="203" spans="1:34" ht="14.5">
      <c r="A203" s="40">
        <v>2011</v>
      </c>
      <c r="B203" s="41" t="s">
        <v>599</v>
      </c>
      <c r="C203" s="41" t="s">
        <v>602</v>
      </c>
      <c r="D203" s="41" t="s">
        <v>105</v>
      </c>
      <c r="E203" s="40">
        <v>14</v>
      </c>
      <c r="H203" s="43"/>
      <c r="I203" s="117"/>
      <c r="J203" s="43"/>
      <c r="K203" s="44"/>
      <c r="L203" s="45"/>
      <c r="M203" s="43"/>
      <c r="N203" s="46"/>
      <c r="O203" s="46"/>
      <c r="P203" s="45"/>
      <c r="Q203" s="45"/>
      <c r="R203" s="45"/>
      <c r="S203" s="43"/>
      <c r="T203" s="43"/>
      <c r="U203" s="43"/>
      <c r="V203" s="43"/>
      <c r="W203" s="43"/>
      <c r="X203" s="43"/>
      <c r="Y203" s="43"/>
      <c r="Z203" s="43"/>
      <c r="AA203" s="43"/>
      <c r="AB203" s="43"/>
      <c r="AC203" s="43"/>
      <c r="AD203" s="43"/>
      <c r="AE203" s="48"/>
      <c r="AF203" s="48"/>
      <c r="AG203" s="48"/>
      <c r="AH203" s="50"/>
    </row>
    <row r="204" spans="1:34" ht="14.5">
      <c r="A204" s="40">
        <v>2012</v>
      </c>
      <c r="B204" s="41" t="s">
        <v>599</v>
      </c>
      <c r="C204" s="41" t="s">
        <v>602</v>
      </c>
      <c r="D204" s="41" t="s">
        <v>105</v>
      </c>
      <c r="E204" s="40">
        <v>14</v>
      </c>
      <c r="H204" s="43"/>
      <c r="I204" s="117"/>
      <c r="J204" s="43"/>
      <c r="K204" s="44"/>
      <c r="L204" s="45"/>
      <c r="M204" s="43"/>
      <c r="N204" s="46"/>
      <c r="O204" s="46"/>
      <c r="P204" s="45"/>
      <c r="Q204" s="45"/>
      <c r="R204" s="45"/>
      <c r="S204" s="43"/>
      <c r="T204" s="43"/>
      <c r="U204" s="43"/>
      <c r="V204" s="43"/>
      <c r="W204" s="43"/>
      <c r="X204" s="43"/>
      <c r="Y204" s="43"/>
      <c r="Z204" s="43"/>
      <c r="AA204" s="43"/>
      <c r="AB204" s="43"/>
      <c r="AC204" s="43"/>
      <c r="AD204" s="43"/>
      <c r="AE204" s="48"/>
      <c r="AF204" s="48"/>
      <c r="AG204" s="48"/>
      <c r="AH204" s="50"/>
    </row>
    <row r="205" spans="1:34" ht="14.5">
      <c r="A205" s="40">
        <v>2013</v>
      </c>
      <c r="B205" s="41" t="s">
        <v>599</v>
      </c>
      <c r="C205" s="41" t="s">
        <v>602</v>
      </c>
      <c r="D205" s="41" t="s">
        <v>105</v>
      </c>
      <c r="E205" s="40">
        <v>14</v>
      </c>
      <c r="H205" s="43"/>
      <c r="I205" s="117"/>
      <c r="J205" s="43"/>
      <c r="K205" s="44"/>
      <c r="L205" s="45"/>
      <c r="M205" s="43"/>
      <c r="N205" s="46"/>
      <c r="O205" s="46"/>
      <c r="P205" s="45"/>
      <c r="Q205" s="45"/>
      <c r="R205" s="45"/>
      <c r="S205" s="43"/>
      <c r="T205" s="43"/>
      <c r="U205" s="43"/>
      <c r="V205" s="43"/>
      <c r="W205" s="43"/>
      <c r="X205" s="43"/>
      <c r="Y205" s="43"/>
      <c r="Z205" s="43"/>
      <c r="AA205" s="43"/>
      <c r="AB205" s="43"/>
      <c r="AC205" s="43"/>
      <c r="AD205" s="43"/>
      <c r="AE205" s="48"/>
      <c r="AF205" s="48"/>
      <c r="AG205" s="48"/>
      <c r="AH205" s="50"/>
    </row>
    <row r="206" spans="1:34" ht="14.5">
      <c r="A206" s="40">
        <v>2014</v>
      </c>
      <c r="B206" s="41" t="s">
        <v>599</v>
      </c>
      <c r="C206" s="41" t="s">
        <v>602</v>
      </c>
      <c r="D206" s="41" t="s">
        <v>105</v>
      </c>
      <c r="E206" s="40">
        <v>14</v>
      </c>
      <c r="H206" s="43"/>
      <c r="I206" s="117"/>
      <c r="J206" s="43"/>
      <c r="K206" s="44"/>
      <c r="L206" s="45"/>
      <c r="M206" s="43"/>
      <c r="N206" s="46"/>
      <c r="O206" s="46"/>
      <c r="P206" s="45"/>
      <c r="Q206" s="45"/>
      <c r="R206" s="45"/>
      <c r="S206" s="43"/>
      <c r="T206" s="43"/>
      <c r="U206" s="43"/>
      <c r="V206" s="43"/>
      <c r="W206" s="43"/>
      <c r="X206" s="43"/>
      <c r="Y206" s="43"/>
      <c r="Z206" s="43"/>
      <c r="AA206" s="43"/>
      <c r="AB206" s="43"/>
      <c r="AC206" s="43"/>
      <c r="AD206" s="43"/>
      <c r="AE206" s="48"/>
      <c r="AF206" s="48"/>
      <c r="AG206" s="48"/>
      <c r="AH206" s="50"/>
    </row>
    <row r="207" spans="1:34" ht="14.5">
      <c r="A207" s="40">
        <v>2015</v>
      </c>
      <c r="B207" s="41" t="s">
        <v>599</v>
      </c>
      <c r="C207" s="41" t="s">
        <v>602</v>
      </c>
      <c r="D207" s="41" t="s">
        <v>105</v>
      </c>
      <c r="E207" s="40">
        <v>14</v>
      </c>
      <c r="H207" s="43"/>
      <c r="I207" s="117"/>
      <c r="J207" s="43"/>
      <c r="K207" s="44"/>
      <c r="L207" s="45"/>
      <c r="M207" s="43"/>
      <c r="N207" s="46"/>
      <c r="O207" s="46"/>
      <c r="P207" s="45"/>
      <c r="Q207" s="45"/>
      <c r="R207" s="45"/>
      <c r="S207" s="43"/>
      <c r="T207" s="43"/>
      <c r="U207" s="43"/>
      <c r="V207" s="43"/>
      <c r="W207" s="43"/>
      <c r="X207" s="43"/>
      <c r="Y207" s="43"/>
      <c r="Z207" s="43"/>
      <c r="AA207" s="43"/>
      <c r="AB207" s="43"/>
      <c r="AC207" s="43"/>
      <c r="AD207" s="43"/>
      <c r="AE207" s="48"/>
      <c r="AF207" s="48"/>
      <c r="AG207" s="48"/>
      <c r="AH207" s="50"/>
    </row>
    <row r="208" spans="1:34" ht="14.5">
      <c r="A208" s="40">
        <v>2016</v>
      </c>
      <c r="B208" s="41" t="s">
        <v>599</v>
      </c>
      <c r="C208" s="41" t="s">
        <v>602</v>
      </c>
      <c r="D208" s="41" t="s">
        <v>105</v>
      </c>
      <c r="E208" s="40">
        <v>14</v>
      </c>
      <c r="H208" s="43"/>
      <c r="I208" s="117"/>
      <c r="J208" s="43"/>
      <c r="K208" s="44"/>
      <c r="L208" s="45"/>
      <c r="M208" s="43"/>
      <c r="N208" s="46"/>
      <c r="O208" s="46"/>
      <c r="P208" s="45"/>
      <c r="Q208" s="45"/>
      <c r="R208" s="45"/>
      <c r="S208" s="43"/>
      <c r="T208" s="43"/>
      <c r="U208" s="43"/>
      <c r="V208" s="43"/>
      <c r="W208" s="43"/>
      <c r="X208" s="43"/>
      <c r="Y208" s="43"/>
      <c r="Z208" s="43"/>
      <c r="AA208" s="43"/>
      <c r="AB208" s="43"/>
      <c r="AC208" s="43"/>
      <c r="AD208" s="43"/>
      <c r="AE208" s="48"/>
      <c r="AF208" s="48"/>
      <c r="AG208" s="48"/>
      <c r="AH208" s="50"/>
    </row>
    <row r="209" spans="1:38" ht="14.5">
      <c r="A209" s="40">
        <v>2017</v>
      </c>
      <c r="B209" s="41" t="s">
        <v>599</v>
      </c>
      <c r="C209" s="41" t="s">
        <v>602</v>
      </c>
      <c r="D209" s="41" t="s">
        <v>105</v>
      </c>
      <c r="E209" s="40">
        <v>14</v>
      </c>
      <c r="H209" s="43"/>
      <c r="I209" s="117"/>
      <c r="J209" s="43"/>
      <c r="K209" s="44"/>
      <c r="L209" s="45"/>
      <c r="M209" s="43"/>
      <c r="N209" s="46"/>
      <c r="O209" s="46"/>
      <c r="P209" s="45"/>
      <c r="Q209" s="45"/>
      <c r="R209" s="45"/>
      <c r="S209" s="43"/>
      <c r="T209" s="43"/>
      <c r="U209" s="43"/>
      <c r="V209" s="43"/>
      <c r="W209" s="43"/>
      <c r="X209" s="43"/>
      <c r="Y209" s="43"/>
      <c r="Z209" s="43"/>
      <c r="AA209" s="43"/>
      <c r="AB209" s="43"/>
      <c r="AC209" s="43"/>
      <c r="AD209" s="43"/>
      <c r="AE209" s="48"/>
      <c r="AF209" s="48"/>
      <c r="AG209" s="48"/>
      <c r="AH209" s="50"/>
    </row>
    <row r="210" spans="1:38" ht="14.5">
      <c r="A210" s="40">
        <v>2015</v>
      </c>
      <c r="B210" s="41" t="s">
        <v>618</v>
      </c>
      <c r="C210" s="41" t="s">
        <v>619</v>
      </c>
      <c r="D210" s="41" t="s">
        <v>363</v>
      </c>
      <c r="E210" s="40">
        <v>12</v>
      </c>
      <c r="H210" s="43"/>
      <c r="I210" s="117"/>
      <c r="J210" s="43"/>
      <c r="K210" s="44"/>
      <c r="L210" s="45"/>
      <c r="M210" s="43"/>
      <c r="N210" s="46"/>
      <c r="O210" s="46"/>
      <c r="P210" s="45"/>
      <c r="Q210" s="45"/>
      <c r="R210" s="45"/>
      <c r="S210" s="43"/>
      <c r="T210" s="43"/>
      <c r="U210" s="43"/>
      <c r="V210" s="43"/>
      <c r="W210" s="43"/>
      <c r="X210" s="43"/>
      <c r="Y210" s="43"/>
      <c r="Z210" s="43"/>
      <c r="AA210" s="43"/>
      <c r="AB210" s="43"/>
      <c r="AC210" s="43"/>
      <c r="AD210" s="43"/>
      <c r="AE210" s="48"/>
      <c r="AF210" s="48"/>
      <c r="AG210" s="48"/>
      <c r="AH210" s="50"/>
    </row>
    <row r="211" spans="1:38" ht="14.5">
      <c r="A211" s="40">
        <v>2016</v>
      </c>
      <c r="B211" s="41" t="s">
        <v>618</v>
      </c>
      <c r="C211" s="41" t="s">
        <v>619</v>
      </c>
      <c r="D211" s="41" t="s">
        <v>363</v>
      </c>
      <c r="E211" s="40">
        <v>12</v>
      </c>
      <c r="H211" s="43"/>
      <c r="I211" s="117"/>
      <c r="J211" s="43"/>
      <c r="K211" s="44"/>
      <c r="L211" s="45"/>
      <c r="M211" s="43"/>
      <c r="N211" s="46"/>
      <c r="O211" s="46"/>
      <c r="P211" s="45"/>
      <c r="Q211" s="45"/>
      <c r="R211" s="45"/>
      <c r="S211" s="43"/>
      <c r="T211" s="43"/>
      <c r="U211" s="43"/>
      <c r="V211" s="43"/>
      <c r="W211" s="43"/>
      <c r="X211" s="43"/>
      <c r="Y211" s="43"/>
      <c r="Z211" s="43"/>
      <c r="AA211" s="43"/>
      <c r="AB211" s="43"/>
      <c r="AC211" s="43"/>
      <c r="AD211" s="43"/>
      <c r="AE211" s="48"/>
      <c r="AF211" s="48"/>
      <c r="AG211" s="48"/>
      <c r="AH211" s="50"/>
    </row>
    <row r="212" spans="1:38" ht="14.5">
      <c r="A212" s="40">
        <v>2017</v>
      </c>
      <c r="B212" s="41" t="s">
        <v>618</v>
      </c>
      <c r="C212" s="41" t="s">
        <v>619</v>
      </c>
      <c r="D212" s="41" t="s">
        <v>363</v>
      </c>
      <c r="E212" s="40">
        <v>12</v>
      </c>
      <c r="H212" s="43"/>
      <c r="I212" s="117"/>
      <c r="J212" s="43"/>
      <c r="K212" s="44"/>
      <c r="L212" s="45"/>
      <c r="M212" s="43"/>
      <c r="N212" s="46"/>
      <c r="O212" s="46"/>
      <c r="P212" s="45"/>
      <c r="Q212" s="45"/>
      <c r="R212" s="45"/>
      <c r="S212" s="43"/>
      <c r="T212" s="43"/>
      <c r="U212" s="43"/>
      <c r="V212" s="43"/>
      <c r="W212" s="43"/>
      <c r="X212" s="43"/>
      <c r="Y212" s="43"/>
      <c r="Z212" s="43"/>
      <c r="AA212" s="43"/>
      <c r="AB212" s="43"/>
      <c r="AC212" s="43"/>
      <c r="AD212" s="43"/>
      <c r="AE212" s="48"/>
      <c r="AF212" s="48"/>
      <c r="AG212" s="48"/>
      <c r="AH212" s="50"/>
    </row>
    <row r="213" spans="1:38" ht="14.5">
      <c r="A213" s="40">
        <v>2004</v>
      </c>
      <c r="B213" s="41" t="s">
        <v>301</v>
      </c>
      <c r="C213" s="41" t="s">
        <v>302</v>
      </c>
      <c r="D213" s="41" t="s">
        <v>105</v>
      </c>
      <c r="E213" s="40">
        <v>11</v>
      </c>
      <c r="H213" s="43"/>
      <c r="I213" s="117"/>
      <c r="J213" s="43"/>
      <c r="K213" s="44"/>
      <c r="L213" s="45"/>
      <c r="M213" s="43"/>
      <c r="N213" s="46"/>
      <c r="O213" s="46"/>
      <c r="P213" s="45"/>
      <c r="Q213" s="45"/>
      <c r="R213" s="45"/>
      <c r="S213" s="43"/>
      <c r="T213" s="43"/>
      <c r="U213" s="43"/>
      <c r="V213" s="43"/>
      <c r="W213" s="43"/>
      <c r="X213" s="43"/>
      <c r="Y213" s="43"/>
      <c r="Z213" s="43"/>
      <c r="AA213" s="43"/>
      <c r="AB213" s="43"/>
      <c r="AC213" s="43"/>
      <c r="AD213" s="43"/>
      <c r="AE213" s="48"/>
      <c r="AF213" s="48"/>
      <c r="AG213" s="48"/>
      <c r="AH213" s="50"/>
    </row>
    <row r="214" spans="1:38" ht="14.5">
      <c r="A214" s="40">
        <v>2005</v>
      </c>
      <c r="B214" s="41" t="s">
        <v>301</v>
      </c>
      <c r="C214" s="41" t="s">
        <v>302</v>
      </c>
      <c r="D214" s="41" t="s">
        <v>105</v>
      </c>
      <c r="E214" s="40">
        <v>11</v>
      </c>
      <c r="H214" s="43"/>
      <c r="I214" s="117"/>
      <c r="J214" s="43"/>
      <c r="K214" s="44"/>
      <c r="L214" s="45"/>
      <c r="M214" s="43"/>
      <c r="N214" s="46"/>
      <c r="O214" s="46"/>
      <c r="P214" s="45"/>
      <c r="Q214" s="45"/>
      <c r="R214" s="45"/>
      <c r="S214" s="43"/>
      <c r="T214" s="43"/>
      <c r="U214" s="43"/>
      <c r="V214" s="43"/>
      <c r="W214" s="43"/>
      <c r="X214" s="43"/>
      <c r="Y214" s="43"/>
      <c r="Z214" s="43"/>
      <c r="AA214" s="43"/>
      <c r="AB214" s="43"/>
      <c r="AC214" s="43"/>
      <c r="AD214" s="43"/>
      <c r="AE214" s="48"/>
      <c r="AF214" s="48"/>
      <c r="AG214" s="48"/>
      <c r="AH214" s="50"/>
    </row>
    <row r="215" spans="1:38" ht="14.5">
      <c r="A215" s="40">
        <v>2006</v>
      </c>
      <c r="B215" s="41" t="s">
        <v>301</v>
      </c>
      <c r="C215" s="41" t="s">
        <v>302</v>
      </c>
      <c r="D215" s="41" t="s">
        <v>105</v>
      </c>
      <c r="E215" s="40">
        <v>11</v>
      </c>
      <c r="H215" s="43"/>
      <c r="I215" s="117"/>
      <c r="J215" s="43"/>
      <c r="K215" s="44"/>
      <c r="L215" s="45"/>
      <c r="M215" s="43"/>
      <c r="N215" s="46"/>
      <c r="O215" s="46"/>
      <c r="P215" s="45"/>
      <c r="Q215" s="45"/>
      <c r="R215" s="45"/>
      <c r="S215" s="43"/>
      <c r="T215" s="43"/>
      <c r="U215" s="43"/>
      <c r="V215" s="43"/>
      <c r="W215" s="43"/>
      <c r="X215" s="43"/>
      <c r="Y215" s="43"/>
      <c r="Z215" s="43"/>
      <c r="AA215" s="43"/>
      <c r="AB215" s="43"/>
      <c r="AC215" s="43"/>
      <c r="AD215" s="43"/>
      <c r="AE215" s="48"/>
      <c r="AF215" s="48"/>
      <c r="AG215" s="48"/>
      <c r="AH215" s="50"/>
    </row>
    <row r="216" spans="1:38" ht="14.5">
      <c r="A216" s="40">
        <v>2007</v>
      </c>
      <c r="B216" s="41" t="s">
        <v>301</v>
      </c>
      <c r="C216" s="41" t="s">
        <v>302</v>
      </c>
      <c r="D216" s="41" t="s">
        <v>105</v>
      </c>
      <c r="E216" s="40">
        <v>11</v>
      </c>
      <c r="H216" s="43"/>
      <c r="I216" s="117"/>
      <c r="J216" s="43"/>
      <c r="K216" s="44"/>
      <c r="L216" s="45"/>
      <c r="M216" s="43"/>
      <c r="N216" s="46"/>
      <c r="O216" s="46"/>
      <c r="P216" s="45"/>
      <c r="Q216" s="45"/>
      <c r="R216" s="45"/>
      <c r="S216" s="43"/>
      <c r="T216" s="43"/>
      <c r="U216" s="43"/>
      <c r="V216" s="43"/>
      <c r="W216" s="43"/>
      <c r="X216" s="43"/>
      <c r="Y216" s="43"/>
      <c r="Z216" s="43"/>
      <c r="AA216" s="43"/>
      <c r="AB216" s="43"/>
      <c r="AC216" s="43"/>
      <c r="AD216" s="43"/>
      <c r="AE216" s="48"/>
      <c r="AF216" s="48"/>
      <c r="AG216" s="48"/>
      <c r="AH216" s="50"/>
    </row>
    <row r="217" spans="1:38" ht="14.5">
      <c r="A217" s="40">
        <v>2008</v>
      </c>
      <c r="B217" s="41" t="s">
        <v>301</v>
      </c>
      <c r="C217" s="41" t="s">
        <v>302</v>
      </c>
      <c r="D217" s="41" t="s">
        <v>105</v>
      </c>
      <c r="E217" s="40">
        <v>11</v>
      </c>
      <c r="H217" s="43"/>
      <c r="I217" s="117"/>
      <c r="J217" s="43"/>
      <c r="K217" s="44"/>
      <c r="L217" s="45"/>
      <c r="M217" s="43"/>
      <c r="N217" s="46"/>
      <c r="O217" s="46"/>
      <c r="P217" s="45"/>
      <c r="Q217" s="45"/>
      <c r="R217" s="45"/>
      <c r="S217" s="43"/>
      <c r="T217" s="43"/>
      <c r="U217" s="43"/>
      <c r="V217" s="43"/>
      <c r="W217" s="43"/>
      <c r="X217" s="43"/>
      <c r="Y217" s="43"/>
      <c r="Z217" s="43"/>
      <c r="AA217" s="43"/>
      <c r="AB217" s="43"/>
      <c r="AC217" s="43"/>
      <c r="AD217" s="43"/>
      <c r="AE217" s="48"/>
      <c r="AF217" s="48"/>
      <c r="AG217" s="48"/>
      <c r="AH217" s="50"/>
    </row>
    <row r="218" spans="1:38" ht="15.5">
      <c r="A218" s="22">
        <v>2009</v>
      </c>
      <c r="B218" s="24" t="s">
        <v>301</v>
      </c>
      <c r="C218" s="24" t="s">
        <v>302</v>
      </c>
      <c r="D218" s="24" t="s">
        <v>105</v>
      </c>
      <c r="E218" s="22">
        <v>11</v>
      </c>
      <c r="F218" s="54" t="s">
        <v>142</v>
      </c>
      <c r="G218" s="483">
        <v>40178</v>
      </c>
      <c r="H218" s="485">
        <v>363509</v>
      </c>
      <c r="I218" s="59"/>
      <c r="J218" s="486">
        <f>K218*H218</f>
        <v>3635090</v>
      </c>
      <c r="K218" s="487">
        <v>10</v>
      </c>
      <c r="L218" s="491">
        <v>0.08</v>
      </c>
      <c r="M218" s="57">
        <v>132500000</v>
      </c>
      <c r="N218" s="54">
        <v>0</v>
      </c>
      <c r="O218" s="54">
        <v>0</v>
      </c>
      <c r="P218" s="54"/>
      <c r="Q218" s="54">
        <v>0</v>
      </c>
      <c r="R218" s="62">
        <v>0</v>
      </c>
      <c r="S218" s="493">
        <v>3665224</v>
      </c>
      <c r="T218" s="495">
        <v>125000</v>
      </c>
      <c r="U218" s="57">
        <v>296600</v>
      </c>
      <c r="V218" s="57"/>
      <c r="W218" s="57"/>
      <c r="X218" s="57"/>
      <c r="Y218" s="57">
        <v>537</v>
      </c>
      <c r="Z218" s="74">
        <f t="shared" ref="Z218:Z226" si="28">T218/(Y218*1000000)</f>
        <v>2.3277467411545624E-4</v>
      </c>
      <c r="AA218" s="74">
        <f t="shared" ref="AA218:AA226" si="29">S218/(Y218*1000000)</f>
        <v>6.8253705772811915E-3</v>
      </c>
      <c r="AB218" s="57"/>
      <c r="AC218" s="57">
        <v>337</v>
      </c>
      <c r="AD218" s="57">
        <v>575000</v>
      </c>
      <c r="AE218" s="64">
        <v>0</v>
      </c>
      <c r="AF218" s="64">
        <v>0</v>
      </c>
      <c r="AG218" s="64">
        <v>0</v>
      </c>
      <c r="AH218" s="157">
        <v>0</v>
      </c>
      <c r="AI218" s="54">
        <v>0</v>
      </c>
      <c r="AJ218" s="54"/>
      <c r="AK218" s="78" t="s">
        <v>633</v>
      </c>
      <c r="AL218" s="54" t="s">
        <v>638</v>
      </c>
    </row>
    <row r="219" spans="1:38" ht="15.5">
      <c r="A219" s="22">
        <v>2010</v>
      </c>
      <c r="B219" s="24" t="s">
        <v>301</v>
      </c>
      <c r="C219" s="24" t="s">
        <v>302</v>
      </c>
      <c r="D219" s="24" t="s">
        <v>105</v>
      </c>
      <c r="E219" s="22">
        <v>11</v>
      </c>
      <c r="F219" s="54" t="s">
        <v>142</v>
      </c>
      <c r="G219" s="483">
        <v>40543</v>
      </c>
      <c r="H219" s="57">
        <v>632539</v>
      </c>
      <c r="I219" s="59">
        <f t="shared" ref="I219:I226" si="30">H219/H218-1</f>
        <v>0.74009171712392274</v>
      </c>
      <c r="J219" s="84">
        <v>7400735.2941176472</v>
      </c>
      <c r="K219" s="87">
        <f t="shared" ref="K219:K226" si="31">J219/H219</f>
        <v>11.700045837675855</v>
      </c>
      <c r="L219" s="88">
        <v>7.9658529214962553E-2</v>
      </c>
      <c r="M219" s="57">
        <v>277974000</v>
      </c>
      <c r="N219" s="54">
        <v>0</v>
      </c>
      <c r="O219" s="54">
        <v>0</v>
      </c>
      <c r="P219" s="54"/>
      <c r="Q219" s="54">
        <v>0</v>
      </c>
      <c r="R219" s="62">
        <v>0</v>
      </c>
      <c r="S219" s="500">
        <v>2306001</v>
      </c>
      <c r="T219" s="500">
        <v>125000</v>
      </c>
      <c r="U219" s="57">
        <v>297570</v>
      </c>
      <c r="V219" s="84"/>
      <c r="W219" s="84"/>
      <c r="X219" s="84"/>
      <c r="Y219" s="57">
        <v>548</v>
      </c>
      <c r="Z219" s="74">
        <f t="shared" si="28"/>
        <v>2.2810218978102189E-4</v>
      </c>
      <c r="AA219" s="74">
        <f t="shared" si="29"/>
        <v>4.2080310218978101E-3</v>
      </c>
      <c r="AB219" s="84"/>
      <c r="AC219" s="57">
        <v>423</v>
      </c>
      <c r="AD219" s="84">
        <v>742500</v>
      </c>
      <c r="AE219" s="64">
        <v>0</v>
      </c>
      <c r="AF219" s="64">
        <v>0</v>
      </c>
      <c r="AG219" s="64">
        <v>0</v>
      </c>
      <c r="AH219" s="76">
        <v>1.0637909056073572E-2</v>
      </c>
      <c r="AI219" s="54">
        <v>0</v>
      </c>
      <c r="AJ219" s="54"/>
      <c r="AK219" s="78" t="s">
        <v>642</v>
      </c>
      <c r="AL219" s="34"/>
    </row>
    <row r="220" spans="1:38" ht="15.5">
      <c r="A220" s="22">
        <v>2011</v>
      </c>
      <c r="B220" s="24" t="s">
        <v>301</v>
      </c>
      <c r="C220" s="24" t="s">
        <v>302</v>
      </c>
      <c r="D220" s="24" t="s">
        <v>105</v>
      </c>
      <c r="E220" s="22">
        <v>11</v>
      </c>
      <c r="F220" s="54" t="s">
        <v>142</v>
      </c>
      <c r="G220" s="483">
        <v>40908</v>
      </c>
      <c r="H220" s="57">
        <v>659652</v>
      </c>
      <c r="I220" s="59">
        <f t="shared" si="30"/>
        <v>4.2863760179214339E-2</v>
      </c>
      <c r="J220" s="84">
        <v>7963541.666666667</v>
      </c>
      <c r="K220" s="87">
        <f t="shared" si="31"/>
        <v>12.072337636612437</v>
      </c>
      <c r="L220" s="88">
        <v>8.8258043661467778E-2</v>
      </c>
      <c r="M220" s="57">
        <v>346484000</v>
      </c>
      <c r="N220" s="54">
        <v>0</v>
      </c>
      <c r="O220" s="54">
        <v>0</v>
      </c>
      <c r="P220" s="54"/>
      <c r="Q220" s="54">
        <v>0</v>
      </c>
      <c r="R220" s="62">
        <v>0</v>
      </c>
      <c r="S220" s="507">
        <v>1982396</v>
      </c>
      <c r="T220" s="507">
        <v>210665</v>
      </c>
      <c r="U220" s="54">
        <v>570706</v>
      </c>
      <c r="V220" s="34"/>
      <c r="W220" s="34"/>
      <c r="X220" s="34"/>
      <c r="Y220" s="509">
        <v>551</v>
      </c>
      <c r="Z220" s="74">
        <f t="shared" si="28"/>
        <v>3.8233212341197821E-4</v>
      </c>
      <c r="AA220" s="74">
        <f t="shared" si="29"/>
        <v>3.5978148820326678E-3</v>
      </c>
      <c r="AB220" s="34"/>
      <c r="AC220" s="54">
        <v>398</v>
      </c>
      <c r="AD220" s="34">
        <f>(730000+775000)/2</f>
        <v>752500</v>
      </c>
      <c r="AE220" s="64">
        <v>0</v>
      </c>
      <c r="AF220" s="64">
        <v>0</v>
      </c>
      <c r="AG220" s="64">
        <v>0</v>
      </c>
      <c r="AH220" s="76">
        <v>5.1730418943533696E-2</v>
      </c>
      <c r="AI220" s="54">
        <v>0</v>
      </c>
      <c r="AJ220" s="54" t="s">
        <v>652</v>
      </c>
      <c r="AK220" s="78" t="s">
        <v>653</v>
      </c>
      <c r="AL220" s="34"/>
    </row>
    <row r="221" spans="1:38" ht="15.5">
      <c r="A221" s="22">
        <v>2012</v>
      </c>
      <c r="B221" s="24" t="s">
        <v>301</v>
      </c>
      <c r="C221" s="24" t="s">
        <v>302</v>
      </c>
      <c r="D221" s="24" t="s">
        <v>105</v>
      </c>
      <c r="E221" s="22">
        <v>11</v>
      </c>
      <c r="F221" s="54" t="s">
        <v>142</v>
      </c>
      <c r="G221" s="483">
        <v>41274</v>
      </c>
      <c r="H221" s="57">
        <v>656324</v>
      </c>
      <c r="I221" s="59">
        <f t="shared" si="30"/>
        <v>-5.0450843778234722E-3</v>
      </c>
      <c r="J221" s="84">
        <v>9234122.9838709682</v>
      </c>
      <c r="K221" s="87">
        <f t="shared" si="31"/>
        <v>14.069458047962543</v>
      </c>
      <c r="L221" s="88">
        <v>8.562061568515654E-2</v>
      </c>
      <c r="M221" s="57">
        <v>427946000</v>
      </c>
      <c r="N221" s="54">
        <v>0</v>
      </c>
      <c r="O221" s="54">
        <v>0</v>
      </c>
      <c r="P221" s="54"/>
      <c r="Q221" s="54">
        <v>0</v>
      </c>
      <c r="R221" s="62">
        <v>0</v>
      </c>
      <c r="S221" s="57">
        <v>3639293</v>
      </c>
      <c r="T221" s="57">
        <v>778971</v>
      </c>
      <c r="U221" s="57">
        <v>314529</v>
      </c>
      <c r="V221" s="84"/>
      <c r="W221" s="84"/>
      <c r="X221" s="84"/>
      <c r="Y221" s="57">
        <v>714</v>
      </c>
      <c r="Z221" s="74">
        <f t="shared" si="28"/>
        <v>1.0909957983193277E-3</v>
      </c>
      <c r="AA221" s="74">
        <f t="shared" si="29"/>
        <v>5.0970490196078433E-3</v>
      </c>
      <c r="AB221" s="84"/>
      <c r="AC221" s="57">
        <v>554</v>
      </c>
      <c r="AD221" s="84">
        <v>732500</v>
      </c>
      <c r="AE221" s="64">
        <v>0</v>
      </c>
      <c r="AF221" s="64">
        <v>0</v>
      </c>
      <c r="AG221" s="64">
        <v>0</v>
      </c>
      <c r="AH221" s="76">
        <v>5.172984749455338E-2</v>
      </c>
      <c r="AI221" s="54">
        <v>0</v>
      </c>
      <c r="AJ221" s="54" t="s">
        <v>652</v>
      </c>
      <c r="AK221" s="78" t="s">
        <v>661</v>
      </c>
      <c r="AL221" s="34"/>
    </row>
    <row r="222" spans="1:38" ht="15.5">
      <c r="A222" s="22">
        <v>2013</v>
      </c>
      <c r="B222" s="24" t="s">
        <v>301</v>
      </c>
      <c r="C222" s="24" t="s">
        <v>302</v>
      </c>
      <c r="D222" s="24" t="s">
        <v>105</v>
      </c>
      <c r="E222" s="22">
        <v>11</v>
      </c>
      <c r="F222" s="54" t="s">
        <v>142</v>
      </c>
      <c r="G222" s="483">
        <v>41639</v>
      </c>
      <c r="H222" s="67">
        <v>721201</v>
      </c>
      <c r="I222" s="59">
        <f t="shared" si="30"/>
        <v>9.8849044069697189E-2</v>
      </c>
      <c r="J222" s="84">
        <v>10718510.963793982</v>
      </c>
      <c r="K222" s="87">
        <f t="shared" si="31"/>
        <v>14.862030091186758</v>
      </c>
      <c r="L222" s="88">
        <v>8.7235314136777542E-2</v>
      </c>
      <c r="M222" s="57">
        <v>481892000</v>
      </c>
      <c r="N222" s="54">
        <v>0</v>
      </c>
      <c r="O222" s="54">
        <v>0</v>
      </c>
      <c r="P222" s="54"/>
      <c r="Q222" s="54">
        <v>0</v>
      </c>
      <c r="R222" s="62">
        <v>0</v>
      </c>
      <c r="S222" s="67">
        <v>5783243</v>
      </c>
      <c r="T222" s="67">
        <v>1280722</v>
      </c>
      <c r="U222" s="67">
        <v>649574</v>
      </c>
      <c r="V222" s="67"/>
      <c r="W222" s="67"/>
      <c r="X222" s="67"/>
      <c r="Y222" s="67">
        <v>715</v>
      </c>
      <c r="Z222" s="74">
        <f t="shared" si="28"/>
        <v>1.7912195804195804E-3</v>
      </c>
      <c r="AA222" s="74">
        <f t="shared" si="29"/>
        <v>8.0884517482517487E-3</v>
      </c>
      <c r="AB222" s="67"/>
      <c r="AC222" s="67">
        <v>551</v>
      </c>
      <c r="AD222" s="67">
        <v>765000</v>
      </c>
      <c r="AE222" s="64">
        <v>0</v>
      </c>
      <c r="AF222" s="64">
        <v>0</v>
      </c>
      <c r="AG222" s="64">
        <v>0</v>
      </c>
      <c r="AH222" s="76">
        <v>9.2520231460722191E-2</v>
      </c>
      <c r="AI222" s="54">
        <v>0</v>
      </c>
      <c r="AJ222" s="78" t="s">
        <v>669</v>
      </c>
      <c r="AK222" s="78" t="s">
        <v>672</v>
      </c>
      <c r="AL222" s="34"/>
    </row>
    <row r="223" spans="1:38" ht="15.5">
      <c r="A223" s="22">
        <v>2014</v>
      </c>
      <c r="B223" s="24" t="s">
        <v>301</v>
      </c>
      <c r="C223" s="24" t="s">
        <v>302</v>
      </c>
      <c r="D223" s="24" t="s">
        <v>105</v>
      </c>
      <c r="E223" s="22">
        <v>11</v>
      </c>
      <c r="F223" s="54" t="s">
        <v>142</v>
      </c>
      <c r="G223" s="483">
        <v>42004</v>
      </c>
      <c r="H223" s="57">
        <v>789224</v>
      </c>
      <c r="I223" s="59">
        <f t="shared" si="30"/>
        <v>9.4319059457765642E-2</v>
      </c>
      <c r="J223" s="84">
        <v>13373071.895424835</v>
      </c>
      <c r="K223" s="87">
        <f t="shared" si="31"/>
        <v>16.944583407783892</v>
      </c>
      <c r="L223" s="88">
        <v>0.10063744392854332</v>
      </c>
      <c r="M223" s="67">
        <v>508280000</v>
      </c>
      <c r="N223" s="54">
        <v>0</v>
      </c>
      <c r="O223" s="54">
        <v>0</v>
      </c>
      <c r="P223" s="54"/>
      <c r="Q223" s="54">
        <v>0</v>
      </c>
      <c r="R223" s="62">
        <v>0</v>
      </c>
      <c r="S223" s="57">
        <v>7454904</v>
      </c>
      <c r="T223" s="57">
        <v>1783941</v>
      </c>
      <c r="U223" s="57">
        <v>674237</v>
      </c>
      <c r="V223" s="57"/>
      <c r="W223" s="57"/>
      <c r="X223" s="57"/>
      <c r="Y223" s="57">
        <v>715</v>
      </c>
      <c r="Z223" s="74">
        <f t="shared" si="28"/>
        <v>2.4950223776223778E-3</v>
      </c>
      <c r="AA223" s="74">
        <f t="shared" si="29"/>
        <v>1.0426439160839161E-2</v>
      </c>
      <c r="AB223" s="57"/>
      <c r="AC223" s="57">
        <v>557</v>
      </c>
      <c r="AD223" s="57">
        <v>670000</v>
      </c>
      <c r="AE223" s="64">
        <v>0</v>
      </c>
      <c r="AF223" s="64">
        <v>0</v>
      </c>
      <c r="AG223" s="64">
        <v>0</v>
      </c>
      <c r="AH223" s="76">
        <v>8.1468302275493953E-2</v>
      </c>
      <c r="AI223" s="54">
        <v>0</v>
      </c>
      <c r="AJ223" s="78" t="s">
        <v>681</v>
      </c>
      <c r="AK223" s="78" t="s">
        <v>688</v>
      </c>
      <c r="AL223" s="34"/>
    </row>
    <row r="224" spans="1:38" ht="15.5">
      <c r="A224" s="22">
        <v>2015</v>
      </c>
      <c r="B224" s="24" t="s">
        <v>301</v>
      </c>
      <c r="C224" s="24" t="s">
        <v>302</v>
      </c>
      <c r="D224" s="24" t="s">
        <v>105</v>
      </c>
      <c r="E224" s="22">
        <v>11</v>
      </c>
      <c r="F224" s="54" t="s">
        <v>142</v>
      </c>
      <c r="G224" s="483">
        <v>42369</v>
      </c>
      <c r="H224" s="57">
        <v>723532</v>
      </c>
      <c r="I224" s="59">
        <f t="shared" si="30"/>
        <v>-8.3236191499498235E-2</v>
      </c>
      <c r="J224" s="84">
        <v>9921493</v>
      </c>
      <c r="K224" s="87">
        <f t="shared" si="31"/>
        <v>13.712583548481614</v>
      </c>
      <c r="L224" s="88">
        <v>5.7165714278720692E-2</v>
      </c>
      <c r="M224" s="57">
        <v>469818000</v>
      </c>
      <c r="N224" s="54">
        <v>0</v>
      </c>
      <c r="O224" s="54">
        <v>0</v>
      </c>
      <c r="P224" s="54"/>
      <c r="Q224" s="54">
        <v>0</v>
      </c>
      <c r="R224" s="62">
        <v>0</v>
      </c>
      <c r="S224" s="57">
        <v>9305053</v>
      </c>
      <c r="T224" s="57">
        <v>2302330</v>
      </c>
      <c r="U224" s="57">
        <v>803503</v>
      </c>
      <c r="V224" s="84"/>
      <c r="W224" s="84"/>
      <c r="X224" s="84"/>
      <c r="Y224" s="57">
        <v>716</v>
      </c>
      <c r="Z224" s="74">
        <f t="shared" si="28"/>
        <v>3.2155446927374302E-3</v>
      </c>
      <c r="AA224" s="74">
        <f t="shared" si="29"/>
        <v>1.299588407821229E-2</v>
      </c>
      <c r="AB224" s="84"/>
      <c r="AC224" s="57">
        <v>606</v>
      </c>
      <c r="AD224" s="84">
        <v>597500</v>
      </c>
      <c r="AE224" s="64">
        <v>0</v>
      </c>
      <c r="AF224" s="64">
        <v>0</v>
      </c>
      <c r="AG224" s="64">
        <v>0</v>
      </c>
      <c r="AH224" s="76">
        <v>4.5754662342175401E-2</v>
      </c>
      <c r="AI224" s="54">
        <v>0</v>
      </c>
      <c r="AJ224" s="34"/>
      <c r="AK224" s="78" t="s">
        <v>695</v>
      </c>
      <c r="AL224" s="34"/>
    </row>
    <row r="225" spans="1:38" ht="15.5">
      <c r="A225" s="22">
        <v>2016</v>
      </c>
      <c r="B225" s="24" t="s">
        <v>301</v>
      </c>
      <c r="C225" s="24" t="s">
        <v>302</v>
      </c>
      <c r="D225" s="24" t="s">
        <v>105</v>
      </c>
      <c r="E225" s="22">
        <v>11</v>
      </c>
      <c r="F225" s="54" t="s">
        <v>142</v>
      </c>
      <c r="G225" s="483">
        <v>42735</v>
      </c>
      <c r="H225" s="57">
        <v>486000</v>
      </c>
      <c r="I225" s="59">
        <f t="shared" si="30"/>
        <v>-0.32829508577367694</v>
      </c>
      <c r="J225" s="57">
        <v>6408176</v>
      </c>
      <c r="K225" s="87">
        <f t="shared" si="31"/>
        <v>13.185547325102881</v>
      </c>
      <c r="L225" s="88">
        <f>14764437.504/M225</f>
        <v>7.5843804118786246E-2</v>
      </c>
      <c r="M225" s="57">
        <v>194669000</v>
      </c>
      <c r="N225" s="54">
        <v>0</v>
      </c>
      <c r="O225" s="54">
        <v>0</v>
      </c>
      <c r="P225" s="54"/>
      <c r="Q225" s="54">
        <v>0</v>
      </c>
      <c r="R225" s="62">
        <v>0</v>
      </c>
      <c r="S225" s="57">
        <v>9346735</v>
      </c>
      <c r="T225" s="57">
        <v>2238451</v>
      </c>
      <c r="U225" s="57">
        <v>868890</v>
      </c>
      <c r="V225" s="84"/>
      <c r="W225" s="84"/>
      <c r="X225" s="84"/>
      <c r="Y225" s="57">
        <v>716</v>
      </c>
      <c r="Z225" s="74">
        <f t="shared" si="28"/>
        <v>3.1263282122905027E-3</v>
      </c>
      <c r="AA225" s="74">
        <f t="shared" si="29"/>
        <v>1.3054099162011173E-2</v>
      </c>
      <c r="AB225" s="84"/>
      <c r="AC225" s="57">
        <v>621</v>
      </c>
      <c r="AD225" s="84">
        <v>382500</v>
      </c>
      <c r="AE225" s="64">
        <v>0</v>
      </c>
      <c r="AF225" s="64">
        <v>0</v>
      </c>
      <c r="AG225" s="64">
        <v>0</v>
      </c>
      <c r="AH225" s="76">
        <v>6.8132882190095501E-2</v>
      </c>
      <c r="AI225" s="54">
        <v>0</v>
      </c>
      <c r="AJ225" s="78" t="s">
        <v>699</v>
      </c>
      <c r="AK225" s="78" t="s">
        <v>701</v>
      </c>
      <c r="AL225" s="34"/>
    </row>
    <row r="226" spans="1:38" ht="15.5">
      <c r="A226" s="22">
        <v>2017</v>
      </c>
      <c r="B226" s="24" t="s">
        <v>301</v>
      </c>
      <c r="C226" s="24" t="s">
        <v>302</v>
      </c>
      <c r="D226" s="24" t="s">
        <v>105</v>
      </c>
      <c r="E226" s="22">
        <v>11</v>
      </c>
      <c r="F226" s="54" t="s">
        <v>142</v>
      </c>
      <c r="G226" s="483">
        <v>43100</v>
      </c>
      <c r="H226" s="57">
        <v>292971</v>
      </c>
      <c r="I226" s="59">
        <f t="shared" si="30"/>
        <v>-0.39717901234567898</v>
      </c>
      <c r="J226" s="57">
        <v>6599235</v>
      </c>
      <c r="K226" s="87">
        <f t="shared" si="31"/>
        <v>22.525215806342608</v>
      </c>
      <c r="L226" s="88">
        <f>17487972.75/M226</f>
        <v>9.0733489415793303E-2</v>
      </c>
      <c r="M226" s="57">
        <v>192740000</v>
      </c>
      <c r="N226" s="54">
        <v>0</v>
      </c>
      <c r="O226" s="54">
        <v>0</v>
      </c>
      <c r="P226" s="54"/>
      <c r="Q226" s="54">
        <v>0</v>
      </c>
      <c r="R226" s="62">
        <v>0</v>
      </c>
      <c r="S226" s="57">
        <v>11703581</v>
      </c>
      <c r="T226" s="57">
        <v>1293893</v>
      </c>
      <c r="U226" s="57">
        <v>531033</v>
      </c>
      <c r="V226" s="57"/>
      <c r="W226" s="57"/>
      <c r="X226" s="57"/>
      <c r="Y226" s="57">
        <v>792</v>
      </c>
      <c r="Z226" s="74">
        <f t="shared" si="28"/>
        <v>1.6337032828282827E-3</v>
      </c>
      <c r="AA226" s="74">
        <f t="shared" si="29"/>
        <v>1.4777248737373738E-2</v>
      </c>
      <c r="AB226" s="57"/>
      <c r="AC226" s="57">
        <v>534</v>
      </c>
      <c r="AD226" s="57">
        <v>310000</v>
      </c>
      <c r="AE226" s="64">
        <v>0</v>
      </c>
      <c r="AF226" s="64">
        <v>0</v>
      </c>
      <c r="AG226" s="64">
        <v>0</v>
      </c>
      <c r="AH226" s="76">
        <v>0.1484414920797138</v>
      </c>
      <c r="AI226" s="54">
        <v>1</v>
      </c>
      <c r="AJ226" s="78" t="s">
        <v>706</v>
      </c>
      <c r="AK226" s="78" t="s">
        <v>708</v>
      </c>
      <c r="AL226" s="34"/>
    </row>
    <row r="227" spans="1:38" ht="14.5">
      <c r="A227" s="40">
        <v>2004</v>
      </c>
      <c r="B227" s="41" t="s">
        <v>711</v>
      </c>
      <c r="C227" s="41" t="s">
        <v>712</v>
      </c>
      <c r="D227" s="41" t="s">
        <v>363</v>
      </c>
      <c r="E227" s="40">
        <v>14</v>
      </c>
      <c r="H227" s="43"/>
      <c r="I227" s="117"/>
      <c r="J227" s="43"/>
      <c r="K227" s="44"/>
      <c r="L227" s="45"/>
      <c r="M227" s="43"/>
      <c r="N227" s="46"/>
      <c r="O227" s="46"/>
      <c r="P227" s="45"/>
      <c r="Q227" s="45"/>
      <c r="R227" s="45"/>
      <c r="S227" s="43"/>
      <c r="T227" s="43"/>
      <c r="U227" s="43"/>
      <c r="V227" s="43"/>
      <c r="W227" s="43"/>
      <c r="X227" s="43"/>
      <c r="Y227" s="43"/>
      <c r="Z227" s="43"/>
      <c r="AA227" s="43"/>
      <c r="AB227" s="43"/>
      <c r="AC227" s="43">
        <f>AVERAGE(AC218:AC226)</f>
        <v>509</v>
      </c>
      <c r="AD227" s="43"/>
      <c r="AE227" s="48"/>
      <c r="AF227" s="48"/>
      <c r="AG227" s="48"/>
      <c r="AH227" s="50"/>
    </row>
    <row r="228" spans="1:38" ht="14.5">
      <c r="A228" s="40">
        <v>2005</v>
      </c>
      <c r="B228" s="41" t="s">
        <v>711</v>
      </c>
      <c r="C228" s="41" t="s">
        <v>712</v>
      </c>
      <c r="D228" s="41" t="s">
        <v>363</v>
      </c>
      <c r="E228" s="40">
        <v>14</v>
      </c>
      <c r="H228" s="43"/>
      <c r="I228" s="117"/>
      <c r="J228" s="43"/>
      <c r="K228" s="44"/>
      <c r="L228" s="45"/>
      <c r="M228" s="43"/>
      <c r="N228" s="46"/>
      <c r="O228" s="46"/>
      <c r="P228" s="45"/>
      <c r="Q228" s="45"/>
      <c r="R228" s="45"/>
      <c r="S228" s="43"/>
      <c r="T228" s="43"/>
      <c r="U228" s="43"/>
      <c r="V228" s="43"/>
      <c r="W228" s="43"/>
      <c r="X228" s="43"/>
      <c r="Y228" s="43"/>
      <c r="Z228" s="43"/>
      <c r="AA228" s="43"/>
      <c r="AB228" s="43"/>
      <c r="AC228" s="43"/>
      <c r="AD228" s="43"/>
      <c r="AE228" s="48"/>
      <c r="AF228" s="48"/>
      <c r="AG228" s="48"/>
      <c r="AH228" s="50"/>
    </row>
    <row r="229" spans="1:38" ht="14.5">
      <c r="A229" s="40">
        <v>2006</v>
      </c>
      <c r="B229" s="41" t="s">
        <v>711</v>
      </c>
      <c r="C229" s="41" t="s">
        <v>712</v>
      </c>
      <c r="D229" s="41" t="s">
        <v>363</v>
      </c>
      <c r="E229" s="40">
        <v>14</v>
      </c>
      <c r="H229" s="43"/>
      <c r="I229" s="117"/>
      <c r="J229" s="43"/>
      <c r="K229" s="44"/>
      <c r="L229" s="45"/>
      <c r="M229" s="43"/>
      <c r="N229" s="46"/>
      <c r="O229" s="46"/>
      <c r="P229" s="45"/>
      <c r="Q229" s="45"/>
      <c r="R229" s="45"/>
      <c r="S229" s="43"/>
      <c r="T229" s="43"/>
      <c r="U229" s="43"/>
      <c r="V229" s="43"/>
      <c r="W229" s="43"/>
      <c r="X229" s="43"/>
      <c r="Y229" s="43"/>
      <c r="Z229" s="43"/>
      <c r="AA229" s="43"/>
      <c r="AB229" s="43"/>
      <c r="AC229" s="43"/>
      <c r="AD229" s="43"/>
      <c r="AE229" s="48"/>
      <c r="AF229" s="48"/>
      <c r="AG229" s="48"/>
      <c r="AH229" s="50"/>
    </row>
    <row r="230" spans="1:38" ht="14.5">
      <c r="A230" s="40">
        <v>2007</v>
      </c>
      <c r="B230" s="41" t="s">
        <v>711</v>
      </c>
      <c r="C230" s="41" t="s">
        <v>712</v>
      </c>
      <c r="D230" s="41" t="s">
        <v>363</v>
      </c>
      <c r="E230" s="40">
        <v>14</v>
      </c>
      <c r="H230" s="43"/>
      <c r="I230" s="117"/>
      <c r="J230" s="43"/>
      <c r="K230" s="44"/>
      <c r="L230" s="45"/>
      <c r="M230" s="43"/>
      <c r="N230" s="46"/>
      <c r="O230" s="46"/>
      <c r="P230" s="45"/>
      <c r="Q230" s="45"/>
      <c r="R230" s="45"/>
      <c r="S230" s="43"/>
      <c r="T230" s="43"/>
      <c r="U230" s="43"/>
      <c r="V230" s="43"/>
      <c r="W230" s="43"/>
      <c r="X230" s="43"/>
      <c r="Y230" s="43"/>
      <c r="Z230" s="43"/>
      <c r="AA230" s="43"/>
      <c r="AB230" s="43"/>
      <c r="AC230" s="43"/>
      <c r="AD230" s="43"/>
      <c r="AE230" s="48"/>
      <c r="AF230" s="48"/>
      <c r="AG230" s="48"/>
      <c r="AH230" s="50"/>
    </row>
    <row r="231" spans="1:38" ht="14.5">
      <c r="A231" s="40">
        <v>2008</v>
      </c>
      <c r="B231" s="41" t="s">
        <v>711</v>
      </c>
      <c r="C231" s="41" t="s">
        <v>712</v>
      </c>
      <c r="D231" s="41" t="s">
        <v>363</v>
      </c>
      <c r="E231" s="40">
        <v>14</v>
      </c>
      <c r="H231" s="43"/>
      <c r="I231" s="117"/>
      <c r="J231" s="43"/>
      <c r="K231" s="44"/>
      <c r="L231" s="45"/>
      <c r="M231" s="43"/>
      <c r="N231" s="46"/>
      <c r="O231" s="46"/>
      <c r="P231" s="45"/>
      <c r="Q231" s="45"/>
      <c r="R231" s="45"/>
      <c r="S231" s="43"/>
      <c r="T231" s="43"/>
      <c r="U231" s="43"/>
      <c r="V231" s="43"/>
      <c r="W231" s="43"/>
      <c r="X231" s="43"/>
      <c r="Y231" s="43"/>
      <c r="Z231" s="43"/>
      <c r="AA231" s="43"/>
      <c r="AB231" s="43"/>
      <c r="AC231" s="43"/>
      <c r="AD231" s="43"/>
      <c r="AE231" s="48"/>
      <c r="AF231" s="48"/>
      <c r="AG231" s="48"/>
      <c r="AH231" s="50"/>
    </row>
    <row r="232" spans="1:38" ht="14.5">
      <c r="A232" s="40">
        <v>2009</v>
      </c>
      <c r="B232" s="41" t="s">
        <v>711</v>
      </c>
      <c r="C232" s="41" t="s">
        <v>712</v>
      </c>
      <c r="D232" s="41" t="s">
        <v>105</v>
      </c>
      <c r="E232" s="40">
        <v>14</v>
      </c>
      <c r="H232" s="43"/>
      <c r="I232" s="117"/>
      <c r="J232" s="43"/>
      <c r="K232" s="44"/>
      <c r="L232" s="45"/>
      <c r="M232" s="43"/>
      <c r="N232" s="46"/>
      <c r="O232" s="46"/>
      <c r="P232" s="45"/>
      <c r="Q232" s="45"/>
      <c r="R232" s="45"/>
      <c r="S232" s="43"/>
      <c r="T232" s="43"/>
      <c r="U232" s="43"/>
      <c r="V232" s="43"/>
      <c r="W232" s="43"/>
      <c r="X232" s="43"/>
      <c r="Y232" s="43"/>
      <c r="Z232" s="43"/>
      <c r="AA232" s="43"/>
      <c r="AB232" s="43"/>
      <c r="AC232" s="43"/>
      <c r="AD232" s="43"/>
      <c r="AE232" s="48"/>
      <c r="AF232" s="48"/>
      <c r="AG232" s="48"/>
      <c r="AH232" s="50"/>
    </row>
    <row r="233" spans="1:38" ht="14.5">
      <c r="A233" s="40">
        <v>2010</v>
      </c>
      <c r="B233" s="41" t="s">
        <v>711</v>
      </c>
      <c r="C233" s="41" t="s">
        <v>712</v>
      </c>
      <c r="D233" s="41" t="s">
        <v>105</v>
      </c>
      <c r="E233" s="40">
        <v>14</v>
      </c>
      <c r="H233" s="43"/>
      <c r="I233" s="117"/>
      <c r="J233" s="43"/>
      <c r="K233" s="44"/>
      <c r="L233" s="45"/>
      <c r="M233" s="43"/>
      <c r="N233" s="46"/>
      <c r="O233" s="46"/>
      <c r="P233" s="45"/>
      <c r="Q233" s="45"/>
      <c r="R233" s="45"/>
      <c r="S233" s="43"/>
      <c r="T233" s="43"/>
      <c r="U233" s="43"/>
      <c r="V233" s="43"/>
      <c r="W233" s="43"/>
      <c r="X233" s="43"/>
      <c r="Y233" s="43"/>
      <c r="Z233" s="43"/>
      <c r="AA233" s="43"/>
      <c r="AB233" s="43"/>
      <c r="AC233" s="43"/>
      <c r="AD233" s="43"/>
      <c r="AE233" s="48"/>
      <c r="AF233" s="48"/>
      <c r="AG233" s="48"/>
      <c r="AH233" s="50"/>
    </row>
    <row r="234" spans="1:38" ht="14.5">
      <c r="A234" s="40">
        <v>2011</v>
      </c>
      <c r="B234" s="41" t="s">
        <v>711</v>
      </c>
      <c r="C234" s="41" t="s">
        <v>712</v>
      </c>
      <c r="D234" s="41" t="s">
        <v>105</v>
      </c>
      <c r="E234" s="40">
        <v>14</v>
      </c>
      <c r="H234" s="43"/>
      <c r="I234" s="117"/>
      <c r="J234" s="43"/>
      <c r="K234" s="44"/>
      <c r="L234" s="45"/>
      <c r="M234" s="43"/>
      <c r="N234" s="46"/>
      <c r="O234" s="46"/>
      <c r="P234" s="45"/>
      <c r="Q234" s="45"/>
      <c r="R234" s="45"/>
      <c r="S234" s="43"/>
      <c r="T234" s="43"/>
      <c r="U234" s="43"/>
      <c r="V234" s="43"/>
      <c r="W234" s="43"/>
      <c r="X234" s="43"/>
      <c r="Y234" s="43"/>
      <c r="Z234" s="43"/>
      <c r="AA234" s="43"/>
      <c r="AB234" s="43"/>
      <c r="AC234" s="43"/>
      <c r="AD234" s="43"/>
      <c r="AE234" s="48"/>
      <c r="AF234" s="48"/>
      <c r="AG234" s="48"/>
      <c r="AH234" s="50"/>
    </row>
    <row r="235" spans="1:38" ht="14.5">
      <c r="A235" s="40">
        <v>2012</v>
      </c>
      <c r="B235" s="41" t="s">
        <v>711</v>
      </c>
      <c r="C235" s="41" t="s">
        <v>712</v>
      </c>
      <c r="D235" s="41" t="s">
        <v>105</v>
      </c>
      <c r="E235" s="40">
        <v>14</v>
      </c>
      <c r="H235" s="43"/>
      <c r="I235" s="117"/>
      <c r="J235" s="43"/>
      <c r="K235" s="44"/>
      <c r="L235" s="45"/>
      <c r="M235" s="43"/>
      <c r="N235" s="46"/>
      <c r="O235" s="46"/>
      <c r="P235" s="45"/>
      <c r="Q235" s="45"/>
      <c r="R235" s="45"/>
      <c r="S235" s="43"/>
      <c r="T235" s="43"/>
      <c r="U235" s="43"/>
      <c r="V235" s="43"/>
      <c r="W235" s="43"/>
      <c r="X235" s="43"/>
      <c r="Y235" s="43"/>
      <c r="Z235" s="43"/>
      <c r="AA235" s="43"/>
      <c r="AB235" s="43"/>
      <c r="AC235" s="43"/>
      <c r="AD235" s="43"/>
      <c r="AE235" s="48"/>
      <c r="AF235" s="48"/>
      <c r="AG235" s="48"/>
      <c r="AH235" s="50"/>
    </row>
    <row r="236" spans="1:38" ht="14.5">
      <c r="A236" s="40">
        <v>2013</v>
      </c>
      <c r="B236" s="41" t="s">
        <v>711</v>
      </c>
      <c r="C236" s="41" t="s">
        <v>712</v>
      </c>
      <c r="D236" s="41" t="s">
        <v>105</v>
      </c>
      <c r="E236" s="40">
        <v>14</v>
      </c>
      <c r="H236" s="43"/>
      <c r="I236" s="117"/>
      <c r="J236" s="43"/>
      <c r="K236" s="44"/>
      <c r="L236" s="45"/>
      <c r="M236" s="43"/>
      <c r="N236" s="46"/>
      <c r="O236" s="46"/>
      <c r="P236" s="45"/>
      <c r="Q236" s="45"/>
      <c r="R236" s="45"/>
      <c r="S236" s="43"/>
      <c r="T236" s="43"/>
      <c r="U236" s="43"/>
      <c r="V236" s="43"/>
      <c r="W236" s="43"/>
      <c r="X236" s="43"/>
      <c r="Y236" s="43"/>
      <c r="Z236" s="43"/>
      <c r="AA236" s="43"/>
      <c r="AB236" s="43"/>
      <c r="AC236" s="43"/>
      <c r="AD236" s="43"/>
      <c r="AE236" s="48"/>
      <c r="AF236" s="48"/>
      <c r="AG236" s="48"/>
      <c r="AH236" s="50"/>
    </row>
    <row r="237" spans="1:38" ht="14.5">
      <c r="A237" s="40">
        <v>2014</v>
      </c>
      <c r="B237" s="41" t="s">
        <v>711</v>
      </c>
      <c r="C237" s="41" t="s">
        <v>712</v>
      </c>
      <c r="D237" s="41" t="s">
        <v>105</v>
      </c>
      <c r="E237" s="40">
        <v>14</v>
      </c>
      <c r="H237" s="43"/>
      <c r="I237" s="117"/>
      <c r="J237" s="43"/>
      <c r="K237" s="44"/>
      <c r="L237" s="45"/>
      <c r="M237" s="43"/>
      <c r="N237" s="46"/>
      <c r="O237" s="46"/>
      <c r="P237" s="45"/>
      <c r="Q237" s="45"/>
      <c r="R237" s="45"/>
      <c r="S237" s="43"/>
      <c r="T237" s="43"/>
      <c r="U237" s="43"/>
      <c r="V237" s="43"/>
      <c r="W237" s="43"/>
      <c r="X237" s="43"/>
      <c r="Y237" s="43"/>
      <c r="Z237" s="43"/>
      <c r="AA237" s="43"/>
      <c r="AB237" s="43"/>
      <c r="AC237" s="43"/>
      <c r="AD237" s="43"/>
      <c r="AE237" s="48"/>
      <c r="AF237" s="48"/>
      <c r="AG237" s="48"/>
      <c r="AH237" s="50"/>
    </row>
    <row r="238" spans="1:38" ht="14.5">
      <c r="A238" s="40">
        <v>2015</v>
      </c>
      <c r="B238" s="41" t="s">
        <v>711</v>
      </c>
      <c r="C238" s="41" t="s">
        <v>712</v>
      </c>
      <c r="D238" s="41" t="s">
        <v>105</v>
      </c>
      <c r="E238" s="40">
        <v>14</v>
      </c>
      <c r="H238" s="43"/>
      <c r="I238" s="117"/>
      <c r="J238" s="43"/>
      <c r="K238" s="44"/>
      <c r="L238" s="45"/>
      <c r="M238" s="43"/>
      <c r="N238" s="46"/>
      <c r="O238" s="46"/>
      <c r="P238" s="45"/>
      <c r="Q238" s="45"/>
      <c r="R238" s="45"/>
      <c r="S238" s="43"/>
      <c r="T238" s="43"/>
      <c r="U238" s="43"/>
      <c r="V238" s="43"/>
      <c r="W238" s="43"/>
      <c r="X238" s="43"/>
      <c r="Y238" s="43"/>
      <c r="Z238" s="43"/>
      <c r="AA238" s="43"/>
      <c r="AB238" s="43"/>
      <c r="AC238" s="43"/>
      <c r="AD238" s="43"/>
      <c r="AE238" s="48"/>
      <c r="AF238" s="48"/>
      <c r="AG238" s="48"/>
      <c r="AH238" s="50"/>
    </row>
    <row r="239" spans="1:38" ht="14.5">
      <c r="A239" s="40">
        <v>2016</v>
      </c>
      <c r="B239" s="41" t="s">
        <v>711</v>
      </c>
      <c r="C239" s="41" t="s">
        <v>712</v>
      </c>
      <c r="D239" s="41" t="s">
        <v>105</v>
      </c>
      <c r="E239" s="40">
        <v>14</v>
      </c>
      <c r="H239" s="43"/>
      <c r="I239" s="117"/>
      <c r="J239" s="43"/>
      <c r="K239" s="44"/>
      <c r="L239" s="45"/>
      <c r="M239" s="43"/>
      <c r="N239" s="46"/>
      <c r="O239" s="46"/>
      <c r="P239" s="45"/>
      <c r="Q239" s="45"/>
      <c r="R239" s="45"/>
      <c r="S239" s="43"/>
      <c r="T239" s="43"/>
      <c r="U239" s="43"/>
      <c r="V239" s="43"/>
      <c r="W239" s="43"/>
      <c r="X239" s="43"/>
      <c r="Y239" s="43"/>
      <c r="Z239" s="43"/>
      <c r="AA239" s="43"/>
      <c r="AB239" s="43"/>
      <c r="AC239" s="43"/>
      <c r="AD239" s="43"/>
      <c r="AE239" s="48"/>
      <c r="AF239" s="48"/>
      <c r="AG239" s="48"/>
      <c r="AH239" s="50"/>
    </row>
    <row r="240" spans="1:38" ht="14.5">
      <c r="A240" s="40">
        <v>2017</v>
      </c>
      <c r="B240" s="41" t="s">
        <v>711</v>
      </c>
      <c r="C240" s="41" t="s">
        <v>712</v>
      </c>
      <c r="D240" s="41" t="s">
        <v>105</v>
      </c>
      <c r="E240" s="40">
        <v>14</v>
      </c>
      <c r="H240" s="43"/>
      <c r="I240" s="117"/>
      <c r="J240" s="43"/>
      <c r="K240" s="44"/>
      <c r="L240" s="45"/>
      <c r="M240" s="43"/>
      <c r="N240" s="46"/>
      <c r="O240" s="46"/>
      <c r="P240" s="45"/>
      <c r="Q240" s="45"/>
      <c r="R240" s="45"/>
      <c r="S240" s="43"/>
      <c r="T240" s="43"/>
      <c r="U240" s="43"/>
      <c r="V240" s="43"/>
      <c r="W240" s="43"/>
      <c r="X240" s="43"/>
      <c r="Y240" s="43"/>
      <c r="Z240" s="43"/>
      <c r="AA240" s="43"/>
      <c r="AB240" s="43"/>
      <c r="AC240" s="43"/>
      <c r="AD240" s="43"/>
      <c r="AE240" s="48"/>
      <c r="AF240" s="48"/>
      <c r="AG240" s="48"/>
      <c r="AH240" s="50"/>
    </row>
    <row r="241" spans="1:34" ht="14.5">
      <c r="A241" s="40">
        <v>2004</v>
      </c>
      <c r="B241" s="41" t="s">
        <v>718</v>
      </c>
      <c r="C241" s="41" t="s">
        <v>719</v>
      </c>
      <c r="D241" s="41" t="s">
        <v>363</v>
      </c>
      <c r="E241" s="40">
        <v>12</v>
      </c>
      <c r="H241" s="43"/>
      <c r="I241" s="117"/>
      <c r="J241" s="43"/>
      <c r="K241" s="44"/>
      <c r="L241" s="45"/>
      <c r="M241" s="43"/>
      <c r="N241" s="46"/>
      <c r="O241" s="46"/>
      <c r="P241" s="45"/>
      <c r="Q241" s="45"/>
      <c r="R241" s="45"/>
      <c r="S241" s="43"/>
      <c r="T241" s="43"/>
      <c r="U241" s="43"/>
      <c r="V241" s="43"/>
      <c r="W241" s="43"/>
      <c r="X241" s="43"/>
      <c r="Y241" s="43"/>
      <c r="Z241" s="43"/>
      <c r="AA241" s="43"/>
      <c r="AB241" s="43"/>
      <c r="AC241" s="43"/>
      <c r="AD241" s="43"/>
      <c r="AE241" s="48"/>
      <c r="AF241" s="48"/>
      <c r="AG241" s="48"/>
      <c r="AH241" s="50"/>
    </row>
    <row r="242" spans="1:34" ht="14.5">
      <c r="A242" s="40">
        <v>2005</v>
      </c>
      <c r="B242" s="41" t="s">
        <v>718</v>
      </c>
      <c r="C242" s="41" t="s">
        <v>719</v>
      </c>
      <c r="D242" s="41" t="s">
        <v>363</v>
      </c>
      <c r="E242" s="40">
        <v>12</v>
      </c>
      <c r="H242" s="43"/>
      <c r="I242" s="117"/>
      <c r="J242" s="43"/>
      <c r="K242" s="44"/>
      <c r="L242" s="45"/>
      <c r="M242" s="43"/>
      <c r="N242" s="46"/>
      <c r="O242" s="46"/>
      <c r="P242" s="45"/>
      <c r="Q242" s="45"/>
      <c r="R242" s="45"/>
      <c r="S242" s="43"/>
      <c r="T242" s="43"/>
      <c r="U242" s="43"/>
      <c r="V242" s="43"/>
      <c r="W242" s="43"/>
      <c r="X242" s="43"/>
      <c r="Y242" s="43"/>
      <c r="Z242" s="43"/>
      <c r="AA242" s="43"/>
      <c r="AB242" s="43"/>
      <c r="AC242" s="43"/>
      <c r="AD242" s="43"/>
      <c r="AE242" s="48"/>
      <c r="AF242" s="48"/>
      <c r="AG242" s="48"/>
      <c r="AH242" s="50"/>
    </row>
    <row r="243" spans="1:34" ht="14.5">
      <c r="A243" s="40">
        <v>2006</v>
      </c>
      <c r="B243" s="41" t="s">
        <v>718</v>
      </c>
      <c r="C243" s="41" t="s">
        <v>719</v>
      </c>
      <c r="D243" s="41" t="s">
        <v>363</v>
      </c>
      <c r="E243" s="40">
        <v>12</v>
      </c>
      <c r="H243" s="43"/>
      <c r="I243" s="117"/>
      <c r="J243" s="43"/>
      <c r="K243" s="44"/>
      <c r="L243" s="45"/>
      <c r="M243" s="43"/>
      <c r="N243" s="46"/>
      <c r="O243" s="46"/>
      <c r="P243" s="45"/>
      <c r="Q243" s="45"/>
      <c r="R243" s="45"/>
      <c r="S243" s="43"/>
      <c r="T243" s="43"/>
      <c r="U243" s="43"/>
      <c r="V243" s="43"/>
      <c r="W243" s="43"/>
      <c r="X243" s="43"/>
      <c r="Y243" s="43"/>
      <c r="Z243" s="43"/>
      <c r="AA243" s="43"/>
      <c r="AB243" s="43"/>
      <c r="AC243" s="43"/>
      <c r="AD243" s="43"/>
      <c r="AE243" s="48"/>
      <c r="AF243" s="48"/>
      <c r="AG243" s="48"/>
      <c r="AH243" s="50"/>
    </row>
    <row r="244" spans="1:34" ht="14.5">
      <c r="A244" s="40">
        <v>2007</v>
      </c>
      <c r="B244" s="41" t="s">
        <v>718</v>
      </c>
      <c r="C244" s="41" t="s">
        <v>719</v>
      </c>
      <c r="D244" s="41" t="s">
        <v>363</v>
      </c>
      <c r="E244" s="40">
        <v>12</v>
      </c>
      <c r="H244" s="43"/>
      <c r="I244" s="117"/>
      <c r="J244" s="43"/>
      <c r="K244" s="44"/>
      <c r="L244" s="45"/>
      <c r="M244" s="43"/>
      <c r="N244" s="46"/>
      <c r="O244" s="46"/>
      <c r="P244" s="45"/>
      <c r="Q244" s="45"/>
      <c r="R244" s="45"/>
      <c r="S244" s="43"/>
      <c r="T244" s="43"/>
      <c r="U244" s="43"/>
      <c r="V244" s="43"/>
      <c r="W244" s="43"/>
      <c r="X244" s="43"/>
      <c r="Y244" s="43"/>
      <c r="Z244" s="43"/>
      <c r="AA244" s="43"/>
      <c r="AB244" s="43"/>
      <c r="AC244" s="43"/>
      <c r="AD244" s="43"/>
      <c r="AE244" s="48"/>
      <c r="AF244" s="48"/>
      <c r="AG244" s="48"/>
      <c r="AH244" s="50"/>
    </row>
    <row r="245" spans="1:34" ht="14.5">
      <c r="A245" s="40">
        <v>2008</v>
      </c>
      <c r="B245" s="41" t="s">
        <v>718</v>
      </c>
      <c r="C245" s="41" t="s">
        <v>719</v>
      </c>
      <c r="D245" s="41" t="s">
        <v>363</v>
      </c>
      <c r="E245" s="40">
        <v>12</v>
      </c>
      <c r="H245" s="43"/>
      <c r="I245" s="117"/>
      <c r="J245" s="43"/>
      <c r="K245" s="44"/>
      <c r="L245" s="45"/>
      <c r="M245" s="43"/>
      <c r="N245" s="46"/>
      <c r="O245" s="46"/>
      <c r="P245" s="45"/>
      <c r="Q245" s="45"/>
      <c r="R245" s="45"/>
      <c r="S245" s="43"/>
      <c r="T245" s="43"/>
      <c r="U245" s="43"/>
      <c r="V245" s="43"/>
      <c r="W245" s="43"/>
      <c r="X245" s="43"/>
      <c r="Y245" s="43"/>
      <c r="Z245" s="43"/>
      <c r="AA245" s="43"/>
      <c r="AB245" s="43"/>
      <c r="AC245" s="43"/>
      <c r="AD245" s="43"/>
      <c r="AE245" s="48"/>
      <c r="AF245" s="48"/>
      <c r="AG245" s="48"/>
      <c r="AH245" s="50"/>
    </row>
    <row r="246" spans="1:34" ht="14.5">
      <c r="A246" s="40">
        <v>2009</v>
      </c>
      <c r="B246" s="41" t="s">
        <v>718</v>
      </c>
      <c r="C246" s="41" t="s">
        <v>719</v>
      </c>
      <c r="D246" s="41" t="s">
        <v>363</v>
      </c>
      <c r="E246" s="40">
        <v>12</v>
      </c>
      <c r="H246" s="43"/>
      <c r="I246" s="117"/>
      <c r="J246" s="43"/>
      <c r="K246" s="44"/>
      <c r="L246" s="45"/>
      <c r="M246" s="43"/>
      <c r="N246" s="46"/>
      <c r="O246" s="46"/>
      <c r="P246" s="45"/>
      <c r="Q246" s="45"/>
      <c r="R246" s="45"/>
      <c r="S246" s="43"/>
      <c r="T246" s="43"/>
      <c r="U246" s="43"/>
      <c r="V246" s="43"/>
      <c r="W246" s="43"/>
      <c r="X246" s="43"/>
      <c r="Y246" s="43"/>
      <c r="Z246" s="43"/>
      <c r="AA246" s="43"/>
      <c r="AB246" s="43"/>
      <c r="AC246" s="43"/>
      <c r="AD246" s="43"/>
      <c r="AE246" s="48"/>
      <c r="AF246" s="48"/>
      <c r="AG246" s="48"/>
      <c r="AH246" s="50"/>
    </row>
    <row r="247" spans="1:34" ht="14.5">
      <c r="A247" s="40">
        <v>2010</v>
      </c>
      <c r="B247" s="41" t="s">
        <v>718</v>
      </c>
      <c r="C247" s="41" t="s">
        <v>719</v>
      </c>
      <c r="D247" s="41" t="s">
        <v>363</v>
      </c>
      <c r="E247" s="40">
        <v>12</v>
      </c>
      <c r="H247" s="43"/>
      <c r="I247" s="117"/>
      <c r="J247" s="43"/>
      <c r="K247" s="44"/>
      <c r="L247" s="45"/>
      <c r="M247" s="43"/>
      <c r="N247" s="46"/>
      <c r="O247" s="46"/>
      <c r="P247" s="45"/>
      <c r="Q247" s="45"/>
      <c r="R247" s="45"/>
      <c r="S247" s="43"/>
      <c r="T247" s="43"/>
      <c r="U247" s="43"/>
      <c r="V247" s="43"/>
      <c r="W247" s="43"/>
      <c r="X247" s="43"/>
      <c r="Y247" s="43"/>
      <c r="Z247" s="43"/>
      <c r="AA247" s="43"/>
      <c r="AB247" s="43"/>
      <c r="AC247" s="43"/>
      <c r="AD247" s="43"/>
      <c r="AE247" s="48"/>
      <c r="AF247" s="48"/>
      <c r="AG247" s="48"/>
      <c r="AH247" s="50"/>
    </row>
    <row r="248" spans="1:34" ht="14.5">
      <c r="A248" s="40">
        <v>2011</v>
      </c>
      <c r="B248" s="41" t="s">
        <v>718</v>
      </c>
      <c r="C248" s="41" t="s">
        <v>719</v>
      </c>
      <c r="D248" s="41" t="s">
        <v>363</v>
      </c>
      <c r="E248" s="40">
        <v>12</v>
      </c>
      <c r="H248" s="43"/>
      <c r="I248" s="117"/>
      <c r="J248" s="43"/>
      <c r="K248" s="44"/>
      <c r="L248" s="45"/>
      <c r="M248" s="43"/>
      <c r="N248" s="46"/>
      <c r="O248" s="46"/>
      <c r="P248" s="45"/>
      <c r="Q248" s="45"/>
      <c r="R248" s="45"/>
      <c r="S248" s="43"/>
      <c r="T248" s="43"/>
      <c r="U248" s="43"/>
      <c r="V248" s="43"/>
      <c r="W248" s="43"/>
      <c r="X248" s="43"/>
      <c r="Y248" s="43"/>
      <c r="Z248" s="43"/>
      <c r="AA248" s="43"/>
      <c r="AB248" s="43"/>
      <c r="AC248" s="43"/>
      <c r="AD248" s="43"/>
      <c r="AE248" s="48"/>
      <c r="AF248" s="48"/>
      <c r="AG248" s="48"/>
      <c r="AH248" s="50"/>
    </row>
    <row r="249" spans="1:34" ht="14.5">
      <c r="A249" s="40">
        <v>2012</v>
      </c>
      <c r="B249" s="41" t="s">
        <v>718</v>
      </c>
      <c r="C249" s="41" t="s">
        <v>719</v>
      </c>
      <c r="D249" s="41" t="s">
        <v>363</v>
      </c>
      <c r="E249" s="40">
        <v>12</v>
      </c>
      <c r="H249" s="43"/>
      <c r="I249" s="117"/>
      <c r="J249" s="43"/>
      <c r="K249" s="44"/>
      <c r="L249" s="45"/>
      <c r="M249" s="43"/>
      <c r="N249" s="46"/>
      <c r="O249" s="46"/>
      <c r="P249" s="45"/>
      <c r="Q249" s="45"/>
      <c r="R249" s="45"/>
      <c r="S249" s="43"/>
      <c r="T249" s="43"/>
      <c r="U249" s="43"/>
      <c r="V249" s="43"/>
      <c r="W249" s="43"/>
      <c r="X249" s="43"/>
      <c r="Y249" s="43"/>
      <c r="Z249" s="43"/>
      <c r="AA249" s="43"/>
      <c r="AB249" s="43"/>
      <c r="AC249" s="43"/>
      <c r="AD249" s="43"/>
      <c r="AE249" s="48"/>
      <c r="AF249" s="48"/>
      <c r="AG249" s="48"/>
      <c r="AH249" s="50"/>
    </row>
    <row r="250" spans="1:34" ht="14.5">
      <c r="A250" s="40">
        <v>2013</v>
      </c>
      <c r="B250" s="41" t="s">
        <v>718</v>
      </c>
      <c r="C250" s="41" t="s">
        <v>719</v>
      </c>
      <c r="D250" s="41" t="s">
        <v>363</v>
      </c>
      <c r="E250" s="40">
        <v>12</v>
      </c>
      <c r="H250" s="43"/>
      <c r="I250" s="117"/>
      <c r="J250" s="43"/>
      <c r="K250" s="44"/>
      <c r="L250" s="45"/>
      <c r="M250" s="43"/>
      <c r="N250" s="46"/>
      <c r="O250" s="46"/>
      <c r="P250" s="45"/>
      <c r="Q250" s="45"/>
      <c r="R250" s="45"/>
      <c r="S250" s="43"/>
      <c r="T250" s="43"/>
      <c r="U250" s="43"/>
      <c r="V250" s="43"/>
      <c r="W250" s="43"/>
      <c r="X250" s="43"/>
      <c r="Y250" s="43"/>
      <c r="Z250" s="43"/>
      <c r="AA250" s="43"/>
      <c r="AB250" s="43"/>
      <c r="AC250" s="43"/>
      <c r="AD250" s="43"/>
      <c r="AE250" s="48"/>
      <c r="AF250" s="48"/>
      <c r="AG250" s="48"/>
      <c r="AH250" s="50"/>
    </row>
    <row r="251" spans="1:34" ht="14.5">
      <c r="A251" s="40">
        <v>2014</v>
      </c>
      <c r="B251" s="41" t="s">
        <v>718</v>
      </c>
      <c r="C251" s="41" t="s">
        <v>719</v>
      </c>
      <c r="D251" s="41" t="s">
        <v>363</v>
      </c>
      <c r="E251" s="40">
        <v>12</v>
      </c>
      <c r="H251" s="43"/>
      <c r="I251" s="117"/>
      <c r="J251" s="43"/>
      <c r="K251" s="44"/>
      <c r="L251" s="45"/>
      <c r="M251" s="43"/>
      <c r="N251" s="46"/>
      <c r="O251" s="46"/>
      <c r="P251" s="45"/>
      <c r="Q251" s="45"/>
      <c r="R251" s="45"/>
      <c r="S251" s="43"/>
      <c r="T251" s="43"/>
      <c r="U251" s="43"/>
      <c r="V251" s="43"/>
      <c r="W251" s="43"/>
      <c r="X251" s="43"/>
      <c r="Y251" s="43"/>
      <c r="Z251" s="43"/>
      <c r="AA251" s="43"/>
      <c r="AB251" s="43"/>
      <c r="AC251" s="43"/>
      <c r="AD251" s="43"/>
      <c r="AE251" s="48"/>
      <c r="AF251" s="48"/>
      <c r="AG251" s="48"/>
      <c r="AH251" s="50"/>
    </row>
    <row r="252" spans="1:34" ht="14.5">
      <c r="A252" s="40">
        <v>2015</v>
      </c>
      <c r="B252" s="41" t="s">
        <v>718</v>
      </c>
      <c r="C252" s="41" t="s">
        <v>719</v>
      </c>
      <c r="D252" s="41" t="s">
        <v>363</v>
      </c>
      <c r="E252" s="40">
        <v>12</v>
      </c>
      <c r="H252" s="43"/>
      <c r="I252" s="117"/>
      <c r="J252" s="43"/>
      <c r="K252" s="44"/>
      <c r="L252" s="45"/>
      <c r="M252" s="43"/>
      <c r="N252" s="46"/>
      <c r="O252" s="46"/>
      <c r="P252" s="45"/>
      <c r="Q252" s="45"/>
      <c r="R252" s="45"/>
      <c r="S252" s="43"/>
      <c r="T252" s="43"/>
      <c r="U252" s="43"/>
      <c r="V252" s="43"/>
      <c r="W252" s="43"/>
      <c r="X252" s="43"/>
      <c r="Y252" s="43"/>
      <c r="Z252" s="43"/>
      <c r="AA252" s="43"/>
      <c r="AB252" s="43"/>
      <c r="AC252" s="43"/>
      <c r="AD252" s="43"/>
      <c r="AE252" s="48"/>
      <c r="AF252" s="48"/>
      <c r="AG252" s="48"/>
      <c r="AH252" s="50"/>
    </row>
    <row r="253" spans="1:34" ht="14.5">
      <c r="A253" s="40">
        <v>2016</v>
      </c>
      <c r="B253" s="41" t="s">
        <v>718</v>
      </c>
      <c r="C253" s="41" t="s">
        <v>719</v>
      </c>
      <c r="D253" s="41" t="s">
        <v>363</v>
      </c>
      <c r="E253" s="40">
        <v>12</v>
      </c>
      <c r="H253" s="43"/>
      <c r="I253" s="117"/>
      <c r="J253" s="43"/>
      <c r="K253" s="44"/>
      <c r="L253" s="45"/>
      <c r="M253" s="43"/>
      <c r="N253" s="46"/>
      <c r="O253" s="46"/>
      <c r="P253" s="45"/>
      <c r="Q253" s="45"/>
      <c r="R253" s="45"/>
      <c r="S253" s="43"/>
      <c r="T253" s="43"/>
      <c r="U253" s="43"/>
      <c r="V253" s="43"/>
      <c r="W253" s="43"/>
      <c r="X253" s="43"/>
      <c r="Y253" s="43"/>
      <c r="Z253" s="43"/>
      <c r="AA253" s="43"/>
      <c r="AB253" s="43"/>
      <c r="AC253" s="43"/>
      <c r="AD253" s="43"/>
      <c r="AE253" s="48"/>
      <c r="AF253" s="48"/>
      <c r="AG253" s="48"/>
      <c r="AH253" s="50"/>
    </row>
    <row r="254" spans="1:34" ht="14.5">
      <c r="A254" s="40">
        <v>2017</v>
      </c>
      <c r="B254" s="41" t="s">
        <v>718</v>
      </c>
      <c r="C254" s="41" t="s">
        <v>719</v>
      </c>
      <c r="D254" s="41" t="s">
        <v>363</v>
      </c>
      <c r="E254" s="40">
        <v>12</v>
      </c>
      <c r="H254" s="43"/>
      <c r="I254" s="117"/>
      <c r="J254" s="43"/>
      <c r="K254" s="44"/>
      <c r="L254" s="45"/>
      <c r="M254" s="43"/>
      <c r="N254" s="46"/>
      <c r="O254" s="46"/>
      <c r="P254" s="45"/>
      <c r="Q254" s="45"/>
      <c r="R254" s="45"/>
      <c r="S254" s="43"/>
      <c r="T254" s="43"/>
      <c r="U254" s="43"/>
      <c r="V254" s="43"/>
      <c r="W254" s="43"/>
      <c r="X254" s="43"/>
      <c r="Y254" s="43"/>
      <c r="Z254" s="43"/>
      <c r="AA254" s="43"/>
      <c r="AB254" s="43"/>
      <c r="AC254" s="43"/>
      <c r="AD254" s="43"/>
      <c r="AE254" s="48"/>
      <c r="AF254" s="48"/>
      <c r="AG254" s="48"/>
      <c r="AH254" s="50"/>
    </row>
    <row r="255" spans="1:34" ht="14.5">
      <c r="A255" s="40">
        <v>2003</v>
      </c>
      <c r="B255" s="41" t="s">
        <v>325</v>
      </c>
      <c r="C255" s="41" t="s">
        <v>326</v>
      </c>
      <c r="D255" s="41" t="s">
        <v>105</v>
      </c>
      <c r="E255" s="40">
        <v>11</v>
      </c>
      <c r="H255" s="43"/>
      <c r="I255" s="117"/>
      <c r="J255" s="43"/>
      <c r="K255" s="44"/>
      <c r="L255" s="45"/>
      <c r="M255" s="43"/>
      <c r="N255" s="46"/>
      <c r="O255" s="46"/>
      <c r="P255" s="45"/>
      <c r="Q255" s="45"/>
      <c r="R255" s="45"/>
      <c r="S255" s="43"/>
      <c r="T255" s="43"/>
      <c r="U255" s="43"/>
      <c r="V255" s="43"/>
      <c r="W255" s="43"/>
      <c r="X255" s="43"/>
      <c r="Y255" s="43"/>
      <c r="Z255" s="43"/>
      <c r="AA255" s="43"/>
      <c r="AB255" s="43"/>
      <c r="AC255" s="43"/>
      <c r="AD255" s="43"/>
      <c r="AE255" s="48"/>
      <c r="AF255" s="48"/>
      <c r="AG255" s="48"/>
      <c r="AH255" s="50"/>
    </row>
    <row r="256" spans="1:34" ht="14.5">
      <c r="A256" s="554">
        <v>2004</v>
      </c>
      <c r="B256" s="555" t="s">
        <v>325</v>
      </c>
      <c r="C256" s="555" t="s">
        <v>326</v>
      </c>
      <c r="D256" s="555" t="s">
        <v>105</v>
      </c>
      <c r="E256" s="40">
        <v>11</v>
      </c>
      <c r="H256" s="43"/>
      <c r="I256" s="117"/>
      <c r="J256" s="43"/>
      <c r="K256" s="44"/>
      <c r="L256" s="45"/>
      <c r="M256" s="43"/>
      <c r="N256" s="46"/>
      <c r="O256" s="46"/>
      <c r="P256" s="45"/>
      <c r="Q256" s="45"/>
      <c r="R256" s="45"/>
      <c r="S256" s="43"/>
      <c r="T256" s="43"/>
      <c r="U256" s="43"/>
      <c r="V256" s="43"/>
      <c r="W256" s="43"/>
      <c r="X256" s="43"/>
      <c r="Y256" s="43"/>
      <c r="Z256" s="43"/>
      <c r="AA256" s="43"/>
      <c r="AB256" s="43"/>
      <c r="AC256" s="43"/>
      <c r="AD256" s="43"/>
      <c r="AE256" s="48"/>
      <c r="AF256" s="48"/>
      <c r="AG256" s="48"/>
      <c r="AH256" s="50"/>
    </row>
    <row r="257" spans="1:38" ht="14.5">
      <c r="A257" s="554">
        <v>2005</v>
      </c>
      <c r="B257" s="555" t="s">
        <v>325</v>
      </c>
      <c r="C257" s="555" t="s">
        <v>326</v>
      </c>
      <c r="D257" s="555" t="s">
        <v>105</v>
      </c>
      <c r="E257" s="40">
        <v>11</v>
      </c>
      <c r="H257" s="43"/>
      <c r="I257" s="117"/>
      <c r="J257" s="43"/>
      <c r="K257" s="44"/>
      <c r="L257" s="45"/>
      <c r="M257" s="43"/>
      <c r="N257" s="46"/>
      <c r="O257" s="46"/>
      <c r="P257" s="45"/>
      <c r="Q257" s="45"/>
      <c r="R257" s="45"/>
      <c r="S257" s="43"/>
      <c r="T257" s="43"/>
      <c r="U257" s="43"/>
      <c r="V257" s="43"/>
      <c r="W257" s="43"/>
      <c r="X257" s="43"/>
      <c r="Y257" s="43"/>
      <c r="Z257" s="43"/>
      <c r="AA257" s="43"/>
      <c r="AB257" s="43"/>
      <c r="AC257" s="43"/>
      <c r="AD257" s="43"/>
      <c r="AE257" s="48"/>
      <c r="AF257" s="48"/>
      <c r="AG257" s="48"/>
      <c r="AH257" s="50"/>
    </row>
    <row r="258" spans="1:38" ht="14.5">
      <c r="A258" s="554">
        <v>2006</v>
      </c>
      <c r="B258" s="555" t="s">
        <v>325</v>
      </c>
      <c r="C258" s="555" t="s">
        <v>326</v>
      </c>
      <c r="D258" s="555" t="s">
        <v>105</v>
      </c>
      <c r="E258" s="40">
        <v>11</v>
      </c>
      <c r="H258" s="43"/>
      <c r="I258" s="117"/>
      <c r="J258" s="43"/>
      <c r="K258" s="44"/>
      <c r="L258" s="45"/>
      <c r="M258" s="43"/>
      <c r="N258" s="46"/>
      <c r="O258" s="46"/>
      <c r="P258" s="45"/>
      <c r="Q258" s="45"/>
      <c r="R258" s="45"/>
      <c r="S258" s="43"/>
      <c r="T258" s="43"/>
      <c r="U258" s="43"/>
      <c r="V258" s="43"/>
      <c r="W258" s="43"/>
      <c r="X258" s="43"/>
      <c r="Y258" s="43"/>
      <c r="Z258" s="43"/>
      <c r="AA258" s="43"/>
      <c r="AB258" s="43"/>
      <c r="AC258" s="43"/>
      <c r="AD258" s="43"/>
      <c r="AE258" s="48"/>
      <c r="AF258" s="48"/>
      <c r="AG258" s="48"/>
      <c r="AH258" s="50"/>
    </row>
    <row r="259" spans="1:38" ht="14.5">
      <c r="A259" s="554">
        <v>2007</v>
      </c>
      <c r="B259" s="555" t="s">
        <v>325</v>
      </c>
      <c r="C259" s="555" t="s">
        <v>326</v>
      </c>
      <c r="D259" s="555" t="s">
        <v>105</v>
      </c>
      <c r="E259" s="40">
        <v>11</v>
      </c>
      <c r="H259" s="43"/>
      <c r="I259" s="117"/>
      <c r="J259" s="43"/>
      <c r="K259" s="44"/>
      <c r="L259" s="45"/>
      <c r="M259" s="43"/>
      <c r="N259" s="46"/>
      <c r="O259" s="46"/>
      <c r="P259" s="45"/>
      <c r="Q259" s="45"/>
      <c r="R259" s="45"/>
      <c r="S259" s="43"/>
      <c r="T259" s="43"/>
      <c r="U259" s="43"/>
      <c r="V259" s="43"/>
      <c r="W259" s="43"/>
      <c r="X259" s="43"/>
      <c r="Y259" s="43"/>
      <c r="Z259" s="43"/>
      <c r="AA259" s="43"/>
      <c r="AB259" s="43"/>
      <c r="AC259" s="43"/>
      <c r="AD259" s="43"/>
      <c r="AE259" s="48"/>
      <c r="AF259" s="48"/>
      <c r="AG259" s="48"/>
      <c r="AH259" s="50"/>
    </row>
    <row r="260" spans="1:38" ht="14.5">
      <c r="A260" s="554">
        <v>2008</v>
      </c>
      <c r="B260" s="555" t="s">
        <v>325</v>
      </c>
      <c r="C260" s="555" t="s">
        <v>326</v>
      </c>
      <c r="D260" s="555" t="s">
        <v>105</v>
      </c>
      <c r="E260" s="40">
        <v>11</v>
      </c>
      <c r="H260" s="43"/>
      <c r="I260" s="117"/>
      <c r="J260" s="43"/>
      <c r="K260" s="44"/>
      <c r="L260" s="43"/>
      <c r="M260" s="43"/>
      <c r="N260" s="192"/>
      <c r="O260" s="192"/>
      <c r="P260" s="43"/>
      <c r="Q260" s="43"/>
      <c r="R260" s="43"/>
      <c r="S260" s="118"/>
      <c r="T260" s="118"/>
      <c r="U260" s="118"/>
      <c r="V260" s="118"/>
      <c r="W260" s="118"/>
      <c r="X260" s="118"/>
      <c r="Y260" s="118"/>
      <c r="Z260" s="118"/>
      <c r="AA260" s="118"/>
      <c r="AB260" s="118"/>
      <c r="AC260" s="118"/>
      <c r="AD260" s="118"/>
      <c r="AE260" s="43"/>
      <c r="AF260" s="43"/>
      <c r="AG260" s="43"/>
      <c r="AH260" s="50"/>
    </row>
    <row r="261" spans="1:38" ht="14.5">
      <c r="A261" s="22">
        <v>2009</v>
      </c>
      <c r="B261" s="24" t="s">
        <v>325</v>
      </c>
      <c r="C261" s="24" t="s">
        <v>326</v>
      </c>
      <c r="D261" s="24" t="s">
        <v>105</v>
      </c>
      <c r="E261" s="22">
        <v>11</v>
      </c>
      <c r="F261" s="54" t="s">
        <v>142</v>
      </c>
      <c r="G261" s="126">
        <v>40178</v>
      </c>
      <c r="H261" s="90">
        <v>1025677</v>
      </c>
      <c r="I261" s="59"/>
      <c r="J261" s="67">
        <v>14503132</v>
      </c>
      <c r="K261" s="87">
        <f t="shared" ref="K261:K269" si="32">J261/H261</f>
        <v>14.140057737474859</v>
      </c>
      <c r="L261" s="88">
        <f>35779226.644/M261</f>
        <v>7.4563822726827517E-2</v>
      </c>
      <c r="M261" s="57">
        <v>479847000</v>
      </c>
      <c r="N261" s="64">
        <v>0</v>
      </c>
      <c r="O261" s="64">
        <v>0</v>
      </c>
      <c r="P261" s="388"/>
      <c r="Q261" s="219">
        <v>0</v>
      </c>
      <c r="R261" s="57">
        <v>0</v>
      </c>
      <c r="S261" s="57">
        <v>2195417</v>
      </c>
      <c r="T261" s="57">
        <v>1533800</v>
      </c>
      <c r="U261" s="57">
        <v>282933</v>
      </c>
      <c r="V261" s="57"/>
      <c r="W261" s="57"/>
      <c r="X261" s="57"/>
      <c r="Y261" s="57">
        <v>733</v>
      </c>
      <c r="Z261" s="74">
        <f t="shared" ref="Z261:Z269" si="33">T261/(Y261*1000000)</f>
        <v>2.0924965893587993E-3</v>
      </c>
      <c r="AA261" s="74">
        <f t="shared" ref="AA261:AA269" si="34">S261/(Y261*1000000)</f>
        <v>2.9951118690313781E-3</v>
      </c>
      <c r="AB261" s="57">
        <v>357</v>
      </c>
      <c r="AC261" s="57"/>
      <c r="AD261" s="57">
        <f>(1030000+1145000)/2</f>
        <v>1087500</v>
      </c>
      <c r="AE261" s="388">
        <v>0</v>
      </c>
      <c r="AF261" s="388">
        <v>0</v>
      </c>
      <c r="AG261" s="219">
        <v>0</v>
      </c>
      <c r="AH261" s="76">
        <v>0.39459265326482057</v>
      </c>
      <c r="AI261" s="54">
        <v>1</v>
      </c>
      <c r="AJ261" s="78" t="s">
        <v>737</v>
      </c>
      <c r="AK261" s="78" t="s">
        <v>738</v>
      </c>
      <c r="AL261" s="34"/>
    </row>
    <row r="262" spans="1:38" ht="14.5">
      <c r="A262" s="22">
        <v>2010</v>
      </c>
      <c r="B262" s="24" t="s">
        <v>325</v>
      </c>
      <c r="C262" s="24" t="s">
        <v>326</v>
      </c>
      <c r="D262" s="24" t="s">
        <v>105</v>
      </c>
      <c r="E262" s="22">
        <v>11</v>
      </c>
      <c r="F262" s="54" t="s">
        <v>142</v>
      </c>
      <c r="G262" s="126">
        <v>40543</v>
      </c>
      <c r="H262" s="86">
        <v>1047191</v>
      </c>
      <c r="I262" s="59">
        <f t="shared" ref="I262:I269" si="35">(H262/H261)-1</f>
        <v>2.0975414287343952E-2</v>
      </c>
      <c r="J262" s="67">
        <v>15079238</v>
      </c>
      <c r="K262" s="87">
        <f t="shared" si="32"/>
        <v>14.399701678108388</v>
      </c>
      <c r="L262" s="88">
        <f>4511705.616/M262</f>
        <v>7.149374335050542E-3</v>
      </c>
      <c r="M262" s="57">
        <v>631063000</v>
      </c>
      <c r="N262" s="64">
        <v>0</v>
      </c>
      <c r="O262" s="64">
        <v>0</v>
      </c>
      <c r="P262" s="388"/>
      <c r="Q262" s="219">
        <v>0</v>
      </c>
      <c r="R262" s="57">
        <v>0</v>
      </c>
      <c r="S262" s="57">
        <v>2065000</v>
      </c>
      <c r="T262" s="57">
        <v>1891963</v>
      </c>
      <c r="U262" s="57">
        <v>328671</v>
      </c>
      <c r="V262" s="57"/>
      <c r="W262" s="57"/>
      <c r="X262" s="57"/>
      <c r="Y262" s="57">
        <v>741</v>
      </c>
      <c r="Z262" s="74">
        <f t="shared" si="33"/>
        <v>2.5532564102564103E-3</v>
      </c>
      <c r="AA262" s="74">
        <f t="shared" si="34"/>
        <v>2.7867746288798918E-3</v>
      </c>
      <c r="AB262" s="57">
        <v>442</v>
      </c>
      <c r="AC262" s="57"/>
      <c r="AD262" s="57">
        <v>1090000</v>
      </c>
      <c r="AE262" s="388">
        <v>0</v>
      </c>
      <c r="AF262" s="388">
        <v>0</v>
      </c>
      <c r="AG262" s="219">
        <v>0</v>
      </c>
      <c r="AH262" s="76">
        <v>0.40747276670487442</v>
      </c>
      <c r="AI262" s="54">
        <v>1</v>
      </c>
      <c r="AJ262" s="78" t="s">
        <v>744</v>
      </c>
      <c r="AK262" s="78" t="s">
        <v>749</v>
      </c>
      <c r="AL262" s="34"/>
    </row>
    <row r="263" spans="1:38" ht="14.5">
      <c r="A263" s="22">
        <v>2011</v>
      </c>
      <c r="B263" s="24" t="s">
        <v>325</v>
      </c>
      <c r="C263" s="24" t="s">
        <v>326</v>
      </c>
      <c r="D263" s="24" t="s">
        <v>105</v>
      </c>
      <c r="E263" s="22">
        <v>11</v>
      </c>
      <c r="F263" s="54" t="s">
        <v>142</v>
      </c>
      <c r="G263" s="126">
        <v>40908</v>
      </c>
      <c r="H263" s="86">
        <v>1093858</v>
      </c>
      <c r="I263" s="59">
        <f t="shared" si="35"/>
        <v>4.4563981164849498E-2</v>
      </c>
      <c r="J263" s="57">
        <v>13692874</v>
      </c>
      <c r="K263" s="87">
        <f t="shared" si="32"/>
        <v>12.517963026279462</v>
      </c>
      <c r="L263" s="88">
        <f>52580636.16/M263</f>
        <v>7.3365736132118109E-2</v>
      </c>
      <c r="M263" s="57">
        <v>716692000</v>
      </c>
      <c r="N263" s="64">
        <v>0</v>
      </c>
      <c r="O263" s="64">
        <v>0</v>
      </c>
      <c r="P263" s="388"/>
      <c r="Q263" s="219">
        <v>0</v>
      </c>
      <c r="R263" s="57">
        <v>0</v>
      </c>
      <c r="S263" s="57">
        <v>860000</v>
      </c>
      <c r="T263" s="57">
        <v>2384968</v>
      </c>
      <c r="U263" s="57">
        <v>927478</v>
      </c>
      <c r="V263" s="57"/>
      <c r="W263" s="57"/>
      <c r="X263" s="57"/>
      <c r="Y263" s="57">
        <v>746</v>
      </c>
      <c r="Z263" s="74">
        <f t="shared" si="33"/>
        <v>3.1970080428954423E-3</v>
      </c>
      <c r="AA263" s="74">
        <f t="shared" si="34"/>
        <v>1.1528150134048258E-3</v>
      </c>
      <c r="AB263" s="57">
        <v>463</v>
      </c>
      <c r="AC263" s="57"/>
      <c r="AD263" s="57">
        <v>1250000</v>
      </c>
      <c r="AE263" s="388">
        <v>0</v>
      </c>
      <c r="AF263" s="388">
        <v>0</v>
      </c>
      <c r="AG263" s="219">
        <v>0</v>
      </c>
      <c r="AH263" s="76">
        <v>0.40636156022555514</v>
      </c>
      <c r="AI263" s="54">
        <v>1</v>
      </c>
      <c r="AJ263" s="78" t="s">
        <v>756</v>
      </c>
      <c r="AK263" s="78" t="s">
        <v>758</v>
      </c>
      <c r="AL263" s="34"/>
    </row>
    <row r="264" spans="1:38" ht="14.5">
      <c r="A264" s="22">
        <v>2012</v>
      </c>
      <c r="B264" s="24" t="s">
        <v>325</v>
      </c>
      <c r="C264" s="24" t="s">
        <v>326</v>
      </c>
      <c r="D264" s="24" t="s">
        <v>105</v>
      </c>
      <c r="E264" s="22">
        <v>11</v>
      </c>
      <c r="F264" s="54" t="s">
        <v>142</v>
      </c>
      <c r="G264" s="126">
        <v>41274</v>
      </c>
      <c r="H264" s="57">
        <v>1200000</v>
      </c>
      <c r="I264" s="59">
        <f t="shared" si="35"/>
        <v>9.7034532818702335E-2</v>
      </c>
      <c r="J264" s="57">
        <v>15065793</v>
      </c>
      <c r="K264" s="87">
        <f t="shared" si="32"/>
        <v>12.5548275</v>
      </c>
      <c r="L264" s="88">
        <f>59781066.624/M264</f>
        <v>7.1873494595757884E-2</v>
      </c>
      <c r="M264" s="57">
        <v>831754000</v>
      </c>
      <c r="N264" s="64">
        <v>0</v>
      </c>
      <c r="O264" s="64">
        <v>0</v>
      </c>
      <c r="P264" s="388"/>
      <c r="Q264" s="219">
        <v>0</v>
      </c>
      <c r="R264" s="57">
        <v>0</v>
      </c>
      <c r="S264" s="585">
        <v>110000</v>
      </c>
      <c r="T264" s="57">
        <v>2628327</v>
      </c>
      <c r="U264" s="57">
        <v>750986</v>
      </c>
      <c r="V264" s="57"/>
      <c r="W264" s="57"/>
      <c r="X264" s="57"/>
      <c r="Y264" s="57">
        <v>752</v>
      </c>
      <c r="Z264" s="74">
        <f t="shared" si="33"/>
        <v>3.4951156914893619E-3</v>
      </c>
      <c r="AA264" s="74">
        <f t="shared" si="34"/>
        <v>1.4627659574468086E-4</v>
      </c>
      <c r="AB264" s="57">
        <v>525</v>
      </c>
      <c r="AC264" s="57"/>
      <c r="AD264" s="57">
        <v>1520000</v>
      </c>
      <c r="AE264" s="388">
        <v>0</v>
      </c>
      <c r="AF264" s="388">
        <v>0</v>
      </c>
      <c r="AG264" s="219">
        <v>0</v>
      </c>
      <c r="AH264" s="76">
        <v>0.32459301530059326</v>
      </c>
      <c r="AI264" s="54">
        <v>1</v>
      </c>
      <c r="AJ264" s="78" t="s">
        <v>761</v>
      </c>
      <c r="AK264" s="34"/>
      <c r="AL264" s="34"/>
    </row>
    <row r="265" spans="1:38" ht="14.5">
      <c r="A265" s="22">
        <v>2013</v>
      </c>
      <c r="B265" s="24" t="s">
        <v>325</v>
      </c>
      <c r="C265" s="24" t="s">
        <v>326</v>
      </c>
      <c r="D265" s="24" t="s">
        <v>105</v>
      </c>
      <c r="E265" s="22">
        <v>11</v>
      </c>
      <c r="F265" s="54" t="s">
        <v>142</v>
      </c>
      <c r="G265" s="126">
        <v>41639</v>
      </c>
      <c r="H265" s="589">
        <v>1169988</v>
      </c>
      <c r="I265" s="59">
        <f t="shared" si="35"/>
        <v>-2.5009999999999977E-2</v>
      </c>
      <c r="J265" s="57">
        <v>18783440</v>
      </c>
      <c r="K265" s="87">
        <f t="shared" si="32"/>
        <v>16.054386882600504</v>
      </c>
      <c r="L265" s="88">
        <f>73668651.68/M265</f>
        <v>8.1782361551928376E-2</v>
      </c>
      <c r="M265" s="57">
        <v>900789000</v>
      </c>
      <c r="N265" s="64">
        <v>0</v>
      </c>
      <c r="O265" s="64">
        <v>0</v>
      </c>
      <c r="P265" s="388"/>
      <c r="Q265" s="219">
        <v>0</v>
      </c>
      <c r="R265" s="57">
        <v>0</v>
      </c>
      <c r="S265" s="57">
        <v>1089105</v>
      </c>
      <c r="T265" s="57">
        <v>3041591</v>
      </c>
      <c r="U265" s="57">
        <v>807164</v>
      </c>
      <c r="V265" s="57"/>
      <c r="W265" s="57"/>
      <c r="X265" s="57"/>
      <c r="Y265" s="57">
        <v>753</v>
      </c>
      <c r="Z265" s="74">
        <f t="shared" si="33"/>
        <v>4.0392974767596282E-3</v>
      </c>
      <c r="AA265" s="74">
        <f t="shared" si="34"/>
        <v>1.4463545816733067E-3</v>
      </c>
      <c r="AB265" s="57">
        <v>596</v>
      </c>
      <c r="AC265" s="57"/>
      <c r="AD265" s="57">
        <v>1400000</v>
      </c>
      <c r="AE265" s="388">
        <v>0</v>
      </c>
      <c r="AF265" s="388">
        <v>0</v>
      </c>
      <c r="AG265" s="219">
        <v>0</v>
      </c>
      <c r="AH265" s="76">
        <v>0.31882975802972668</v>
      </c>
      <c r="AI265" s="54">
        <v>1</v>
      </c>
      <c r="AJ265" s="78" t="s">
        <v>769</v>
      </c>
      <c r="AK265" s="78" t="s">
        <v>771</v>
      </c>
      <c r="AL265" s="34"/>
    </row>
    <row r="266" spans="1:38" ht="14.5">
      <c r="A266" s="22">
        <v>2014</v>
      </c>
      <c r="B266" s="24" t="s">
        <v>325</v>
      </c>
      <c r="C266" s="24" t="s">
        <v>326</v>
      </c>
      <c r="D266" s="24" t="s">
        <v>105</v>
      </c>
      <c r="E266" s="22">
        <v>11</v>
      </c>
      <c r="F266" s="54" t="s">
        <v>142</v>
      </c>
      <c r="G266" s="126">
        <v>42004</v>
      </c>
      <c r="H266" s="592">
        <v>1381645</v>
      </c>
      <c r="I266" s="59">
        <f t="shared" si="35"/>
        <v>0.18090527424212888</v>
      </c>
      <c r="J266" s="57">
        <v>23285075</v>
      </c>
      <c r="K266" s="87">
        <f t="shared" si="32"/>
        <v>16.85315330638478</v>
      </c>
      <c r="L266" s="88">
        <f>89065411.875/M266</f>
        <v>8.5162662538832909E-2</v>
      </c>
      <c r="M266" s="57">
        <v>1045827000</v>
      </c>
      <c r="N266" s="64">
        <v>0</v>
      </c>
      <c r="O266" s="64">
        <v>0</v>
      </c>
      <c r="P266" s="388"/>
      <c r="Q266" s="388">
        <v>0</v>
      </c>
      <c r="R266" s="57">
        <v>0</v>
      </c>
      <c r="S266" s="57">
        <v>979113</v>
      </c>
      <c r="T266" s="57">
        <v>3292864</v>
      </c>
      <c r="U266" s="57">
        <v>586349</v>
      </c>
      <c r="V266" s="57"/>
      <c r="W266" s="57"/>
      <c r="X266" s="57"/>
      <c r="Y266" s="57">
        <v>878</v>
      </c>
      <c r="Z266" s="74">
        <f t="shared" si="33"/>
        <v>3.7504145785876991E-3</v>
      </c>
      <c r="AA266" s="74">
        <f t="shared" si="34"/>
        <v>1.1151628701594532E-3</v>
      </c>
      <c r="AB266" s="593">
        <v>622</v>
      </c>
      <c r="AC266" s="34"/>
      <c r="AD266" s="57">
        <v>1300000</v>
      </c>
      <c r="AE266" s="388">
        <v>0</v>
      </c>
      <c r="AF266" s="388">
        <v>0</v>
      </c>
      <c r="AG266" s="219">
        <v>0</v>
      </c>
      <c r="AH266" s="76">
        <v>0.29830691109911511</v>
      </c>
      <c r="AI266" s="54">
        <v>1</v>
      </c>
      <c r="AJ266" s="78" t="s">
        <v>774</v>
      </c>
      <c r="AK266" s="78" t="s">
        <v>775</v>
      </c>
      <c r="AL266" s="34"/>
    </row>
    <row r="267" spans="1:38" ht="14.5">
      <c r="A267" s="22">
        <v>2015</v>
      </c>
      <c r="B267" s="24" t="s">
        <v>325</v>
      </c>
      <c r="C267" s="24" t="s">
        <v>326</v>
      </c>
      <c r="D267" s="24" t="s">
        <v>105</v>
      </c>
      <c r="E267" s="22">
        <v>11</v>
      </c>
      <c r="F267" s="54" t="s">
        <v>142</v>
      </c>
      <c r="G267" s="126">
        <v>42369</v>
      </c>
      <c r="H267" s="595">
        <v>1275375</v>
      </c>
      <c r="I267" s="59">
        <f t="shared" si="35"/>
        <v>-7.6915560798902716E-2</v>
      </c>
      <c r="J267" s="57">
        <v>19753714.857999999</v>
      </c>
      <c r="K267" s="87">
        <f t="shared" si="32"/>
        <v>15.488554235420954</v>
      </c>
      <c r="L267" s="88">
        <f>53473306.120606/M267</f>
        <v>4.9148259302027569E-2</v>
      </c>
      <c r="M267" s="57">
        <v>1088000000</v>
      </c>
      <c r="N267" s="64">
        <v>0</v>
      </c>
      <c r="O267" s="64">
        <v>0</v>
      </c>
      <c r="P267" s="388"/>
      <c r="Q267" s="388">
        <v>0</v>
      </c>
      <c r="R267" s="57">
        <v>170400000</v>
      </c>
      <c r="S267" s="57">
        <v>1157147</v>
      </c>
      <c r="T267" s="57">
        <v>5018588</v>
      </c>
      <c r="U267" s="57">
        <v>1005136</v>
      </c>
      <c r="V267" s="84"/>
      <c r="W267" s="84"/>
      <c r="X267" s="84"/>
      <c r="Y267" s="57">
        <v>947</v>
      </c>
      <c r="Z267" s="74">
        <f t="shared" si="33"/>
        <v>5.2994593453009504E-3</v>
      </c>
      <c r="AA267" s="74">
        <f t="shared" si="34"/>
        <v>1.2219081309398098E-3</v>
      </c>
      <c r="AB267" s="57">
        <v>662</v>
      </c>
      <c r="AC267" s="34"/>
      <c r="AD267" s="84">
        <v>1269500</v>
      </c>
      <c r="AE267" s="388">
        <v>0</v>
      </c>
      <c r="AF267" s="388">
        <v>0</v>
      </c>
      <c r="AG267" s="219">
        <v>0</v>
      </c>
      <c r="AH267" s="76">
        <v>0.24852872246237168</v>
      </c>
      <c r="AI267" s="54">
        <v>1</v>
      </c>
      <c r="AJ267" s="78" t="s">
        <v>782</v>
      </c>
      <c r="AK267" s="78" t="s">
        <v>785</v>
      </c>
      <c r="AL267" s="34"/>
    </row>
    <row r="268" spans="1:38" ht="14.5">
      <c r="A268" s="22">
        <v>2016</v>
      </c>
      <c r="B268" s="24" t="s">
        <v>325</v>
      </c>
      <c r="C268" s="24" t="s">
        <v>326</v>
      </c>
      <c r="D268" s="24" t="s">
        <v>105</v>
      </c>
      <c r="E268" s="22">
        <v>11</v>
      </c>
      <c r="F268" s="54" t="s">
        <v>142</v>
      </c>
      <c r="G268" s="126">
        <v>42735</v>
      </c>
      <c r="H268" s="599">
        <v>1009079</v>
      </c>
      <c r="I268" s="59">
        <f t="shared" si="35"/>
        <v>-0.20879819660884058</v>
      </c>
      <c r="J268" s="57">
        <v>24755710</v>
      </c>
      <c r="K268" s="87">
        <f t="shared" si="32"/>
        <v>24.532975118895546</v>
      </c>
      <c r="L268" s="88">
        <f>57037155.84/M268</f>
        <v>5.5429694693877554E-2</v>
      </c>
      <c r="M268" s="57">
        <v>1029000000</v>
      </c>
      <c r="N268" s="64">
        <v>0</v>
      </c>
      <c r="O268" s="64">
        <v>0</v>
      </c>
      <c r="P268" s="388"/>
      <c r="Q268" s="388">
        <v>0</v>
      </c>
      <c r="R268" s="57">
        <v>224600000</v>
      </c>
      <c r="S268" s="57">
        <v>1074341</v>
      </c>
      <c r="T268" s="57">
        <v>5278342</v>
      </c>
      <c r="U268" s="57">
        <v>1267563</v>
      </c>
      <c r="V268" s="57"/>
      <c r="W268" s="57"/>
      <c r="X268" s="57"/>
      <c r="Y268" s="57">
        <v>948</v>
      </c>
      <c r="Z268" s="74">
        <f t="shared" si="33"/>
        <v>5.5678713080168779E-3</v>
      </c>
      <c r="AA268" s="74">
        <f t="shared" si="34"/>
        <v>1.1332710970464136E-3</v>
      </c>
      <c r="AB268" s="57">
        <v>665</v>
      </c>
      <c r="AC268" s="34"/>
      <c r="AD268" s="57">
        <v>1140000</v>
      </c>
      <c r="AE268" s="388">
        <v>0</v>
      </c>
      <c r="AF268" s="388">
        <v>0</v>
      </c>
      <c r="AG268" s="219">
        <v>0</v>
      </c>
      <c r="AH268" s="76">
        <v>0.17575655870671814</v>
      </c>
      <c r="AI268" s="54">
        <v>1</v>
      </c>
      <c r="AJ268" s="78" t="s">
        <v>790</v>
      </c>
      <c r="AK268" s="78" t="s">
        <v>793</v>
      </c>
      <c r="AL268" s="34"/>
    </row>
    <row r="269" spans="1:38" ht="14.5">
      <c r="A269" s="22">
        <v>2017</v>
      </c>
      <c r="B269" s="24" t="s">
        <v>325</v>
      </c>
      <c r="C269" s="24" t="s">
        <v>326</v>
      </c>
      <c r="D269" s="24" t="s">
        <v>105</v>
      </c>
      <c r="E269" s="22">
        <v>11</v>
      </c>
      <c r="F269" s="54" t="s">
        <v>142</v>
      </c>
      <c r="G269" s="126">
        <v>43100</v>
      </c>
      <c r="H269" s="603">
        <v>977316</v>
      </c>
      <c r="I269" s="59">
        <f t="shared" si="35"/>
        <v>-3.1477218334738932E-2</v>
      </c>
      <c r="J269" s="67">
        <v>20065457</v>
      </c>
      <c r="K269" s="87">
        <f t="shared" si="32"/>
        <v>20.531186433047242</v>
      </c>
      <c r="L269" s="62">
        <f>53173461.05/M269</f>
        <v>5.1010611137759017E-2</v>
      </c>
      <c r="M269" s="57">
        <v>1042400000</v>
      </c>
      <c r="N269" s="64">
        <v>0</v>
      </c>
      <c r="O269" s="64">
        <v>0</v>
      </c>
      <c r="P269" s="388"/>
      <c r="Q269" s="388">
        <v>0</v>
      </c>
      <c r="R269" s="57">
        <v>216000000</v>
      </c>
      <c r="S269" s="57">
        <v>586992.6</v>
      </c>
      <c r="T269" s="57">
        <v>5696626</v>
      </c>
      <c r="U269" s="57">
        <v>1424382</v>
      </c>
      <c r="V269" s="57"/>
      <c r="W269" s="57"/>
      <c r="X269" s="57"/>
      <c r="Y269" s="57">
        <v>949</v>
      </c>
      <c r="Z269" s="74">
        <f t="shared" si="33"/>
        <v>6.0027671232876709E-3</v>
      </c>
      <c r="AA269" s="74">
        <f t="shared" si="34"/>
        <v>6.1853804004214957E-4</v>
      </c>
      <c r="AB269" s="57">
        <v>692</v>
      </c>
      <c r="AC269" s="57"/>
      <c r="AD269" s="57">
        <v>900000</v>
      </c>
      <c r="AE269" s="57">
        <v>131900</v>
      </c>
      <c r="AF269" s="57">
        <v>71156.992496891922</v>
      </c>
      <c r="AG269" s="88">
        <f>71156.9924968919/AD269</f>
        <v>7.9063324996546544E-2</v>
      </c>
      <c r="AH269" s="76">
        <v>0.20506708060760614</v>
      </c>
      <c r="AI269" s="54">
        <v>1</v>
      </c>
      <c r="AJ269" s="78" t="s">
        <v>800</v>
      </c>
      <c r="AK269" s="78" t="s">
        <v>804</v>
      </c>
      <c r="AL269" s="34"/>
    </row>
    <row r="270" spans="1:38" ht="14.5">
      <c r="A270" s="554">
        <v>2004</v>
      </c>
      <c r="B270" s="555" t="s">
        <v>349</v>
      </c>
      <c r="C270" s="555" t="s">
        <v>350</v>
      </c>
      <c r="D270" s="555" t="s">
        <v>105</v>
      </c>
      <c r="E270" s="554">
        <v>11</v>
      </c>
      <c r="F270" s="479"/>
      <c r="G270" s="479"/>
      <c r="H270" s="605"/>
      <c r="I270" s="606"/>
      <c r="J270" s="605"/>
      <c r="K270" s="607"/>
      <c r="L270" s="608"/>
      <c r="M270" s="605"/>
      <c r="N270" s="609"/>
      <c r="O270" s="609"/>
      <c r="P270" s="608"/>
      <c r="Q270" s="608"/>
      <c r="R270" s="608"/>
      <c r="S270" s="605"/>
      <c r="T270" s="605"/>
      <c r="U270" s="605"/>
      <c r="V270" s="605"/>
      <c r="W270" s="605"/>
      <c r="X270" s="605"/>
      <c r="Y270" s="605"/>
      <c r="Z270" s="605"/>
      <c r="AA270" s="605"/>
      <c r="AB270" s="605">
        <f>AVERAGE(AB261:AB269)</f>
        <v>558.22222222222217</v>
      </c>
      <c r="AC270" s="605"/>
      <c r="AD270" s="605"/>
      <c r="AE270" s="611"/>
      <c r="AF270" s="611"/>
      <c r="AG270" s="611"/>
      <c r="AH270" s="612"/>
      <c r="AI270" s="479"/>
      <c r="AJ270" s="479"/>
      <c r="AK270" s="479"/>
      <c r="AL270" s="479"/>
    </row>
    <row r="271" spans="1:38" ht="14.5">
      <c r="A271" s="554">
        <v>2005</v>
      </c>
      <c r="B271" s="555" t="s">
        <v>349</v>
      </c>
      <c r="C271" s="555" t="s">
        <v>350</v>
      </c>
      <c r="D271" s="555" t="s">
        <v>105</v>
      </c>
      <c r="E271" s="554">
        <v>11</v>
      </c>
      <c r="F271" s="479"/>
      <c r="G271" s="479"/>
      <c r="H271" s="605"/>
      <c r="I271" s="606"/>
      <c r="J271" s="605"/>
      <c r="K271" s="607"/>
      <c r="L271" s="608"/>
      <c r="M271" s="605"/>
      <c r="N271" s="609"/>
      <c r="O271" s="609"/>
      <c r="P271" s="608"/>
      <c r="Q271" s="608"/>
      <c r="R271" s="608"/>
      <c r="S271" s="605"/>
      <c r="T271" s="605"/>
      <c r="U271" s="605"/>
      <c r="V271" s="605"/>
      <c r="W271" s="605"/>
      <c r="X271" s="605"/>
      <c r="Y271" s="605"/>
      <c r="Z271" s="605"/>
      <c r="AA271" s="605"/>
      <c r="AB271" s="605"/>
      <c r="AC271" s="605"/>
      <c r="AD271" s="605"/>
      <c r="AE271" s="611"/>
      <c r="AF271" s="611"/>
      <c r="AG271" s="611"/>
      <c r="AH271" s="612"/>
      <c r="AI271" s="479"/>
      <c r="AJ271" s="479"/>
      <c r="AK271" s="479"/>
      <c r="AL271" s="479"/>
    </row>
    <row r="272" spans="1:38" ht="14.5">
      <c r="A272" s="554">
        <v>2006</v>
      </c>
      <c r="B272" s="555" t="s">
        <v>349</v>
      </c>
      <c r="C272" s="555" t="s">
        <v>350</v>
      </c>
      <c r="D272" s="555" t="s">
        <v>105</v>
      </c>
      <c r="E272" s="554">
        <v>11</v>
      </c>
      <c r="F272" s="479"/>
      <c r="G272" s="479"/>
      <c r="H272" s="605"/>
      <c r="I272" s="606"/>
      <c r="J272" s="605"/>
      <c r="K272" s="607"/>
      <c r="L272" s="608"/>
      <c r="M272" s="605"/>
      <c r="N272" s="609"/>
      <c r="O272" s="609"/>
      <c r="P272" s="608"/>
      <c r="Q272" s="608"/>
      <c r="R272" s="608"/>
      <c r="S272" s="605"/>
      <c r="T272" s="605"/>
      <c r="U272" s="605"/>
      <c r="V272" s="605"/>
      <c r="W272" s="605"/>
      <c r="X272" s="605"/>
      <c r="Y272" s="605"/>
      <c r="Z272" s="605"/>
      <c r="AA272" s="605"/>
      <c r="AB272" s="605"/>
      <c r="AC272" s="605"/>
      <c r="AD272" s="605"/>
      <c r="AE272" s="611"/>
      <c r="AF272" s="611"/>
      <c r="AG272" s="611"/>
      <c r="AH272" s="612"/>
      <c r="AI272" s="479"/>
      <c r="AJ272" s="479"/>
      <c r="AK272" s="479"/>
      <c r="AL272" s="479"/>
    </row>
    <row r="273" spans="1:38" ht="14.5">
      <c r="A273" s="554">
        <v>2007</v>
      </c>
      <c r="B273" s="555" t="s">
        <v>349</v>
      </c>
      <c r="C273" s="555" t="s">
        <v>350</v>
      </c>
      <c r="D273" s="555" t="s">
        <v>105</v>
      </c>
      <c r="E273" s="554">
        <v>11</v>
      </c>
      <c r="F273" s="479"/>
      <c r="G273" s="479"/>
      <c r="H273" s="605"/>
      <c r="I273" s="606"/>
      <c r="J273" s="605"/>
      <c r="K273" s="607"/>
      <c r="L273" s="608"/>
      <c r="M273" s="605"/>
      <c r="N273" s="609"/>
      <c r="O273" s="609"/>
      <c r="P273" s="608"/>
      <c r="Q273" s="608"/>
      <c r="R273" s="608"/>
      <c r="S273" s="605"/>
      <c r="T273" s="605"/>
      <c r="U273" s="605"/>
      <c r="V273" s="605"/>
      <c r="W273" s="605"/>
      <c r="X273" s="605"/>
      <c r="Y273" s="605"/>
      <c r="Z273" s="605"/>
      <c r="AA273" s="605"/>
      <c r="AB273" s="605"/>
      <c r="AC273" s="605"/>
      <c r="AD273" s="605"/>
      <c r="AE273" s="611"/>
      <c r="AF273" s="611"/>
      <c r="AG273" s="611"/>
      <c r="AH273" s="612"/>
      <c r="AI273" s="479"/>
      <c r="AJ273" s="479"/>
      <c r="AK273" s="479"/>
      <c r="AL273" s="479"/>
    </row>
    <row r="274" spans="1:38" ht="14.5">
      <c r="A274" s="554">
        <v>2008</v>
      </c>
      <c r="B274" s="555" t="s">
        <v>349</v>
      </c>
      <c r="C274" s="555" t="s">
        <v>350</v>
      </c>
      <c r="D274" s="555" t="s">
        <v>105</v>
      </c>
      <c r="E274" s="554">
        <v>11</v>
      </c>
      <c r="F274" s="479"/>
      <c r="G274" s="479"/>
      <c r="H274" s="605"/>
      <c r="I274" s="606"/>
      <c r="J274" s="605"/>
      <c r="K274" s="607"/>
      <c r="L274" s="608"/>
      <c r="M274" s="605"/>
      <c r="N274" s="609"/>
      <c r="O274" s="609"/>
      <c r="P274" s="608"/>
      <c r="Q274" s="608"/>
      <c r="R274" s="608"/>
      <c r="S274" s="605"/>
      <c r="T274" s="605"/>
      <c r="U274" s="605"/>
      <c r="V274" s="605"/>
      <c r="W274" s="605"/>
      <c r="X274" s="605"/>
      <c r="Y274" s="605"/>
      <c r="Z274" s="605"/>
      <c r="AA274" s="605"/>
      <c r="AB274" s="605"/>
      <c r="AC274" s="605"/>
      <c r="AD274" s="605"/>
      <c r="AE274" s="611"/>
      <c r="AF274" s="611"/>
      <c r="AG274" s="611"/>
      <c r="AH274" s="612"/>
      <c r="AI274" s="479"/>
      <c r="AJ274" s="479"/>
      <c r="AK274" s="479"/>
      <c r="AL274" s="479"/>
    </row>
    <row r="275" spans="1:38" ht="14.5">
      <c r="A275" s="22">
        <v>2009</v>
      </c>
      <c r="B275" s="24" t="s">
        <v>349</v>
      </c>
      <c r="C275" s="24" t="s">
        <v>350</v>
      </c>
      <c r="D275" s="24" t="s">
        <v>105</v>
      </c>
      <c r="E275" s="22">
        <v>11</v>
      </c>
      <c r="F275" s="54" t="s">
        <v>142</v>
      </c>
      <c r="G275" s="617">
        <v>40178</v>
      </c>
      <c r="H275" s="57">
        <v>939000</v>
      </c>
      <c r="I275" s="59"/>
      <c r="J275" s="57">
        <v>14926658</v>
      </c>
      <c r="K275" s="87">
        <f t="shared" ref="K275:K283" si="36">J275/H275</f>
        <v>15.896334398296059</v>
      </c>
      <c r="L275" s="620">
        <f>36824065.286/M275</f>
        <v>8.2417335017905102E-2</v>
      </c>
      <c r="M275" s="57">
        <v>446800000</v>
      </c>
      <c r="N275" s="54">
        <v>8600000</v>
      </c>
      <c r="O275" s="54">
        <v>4300000</v>
      </c>
      <c r="P275" s="57"/>
      <c r="Q275" s="62">
        <v>0.28807520075826754</v>
      </c>
      <c r="R275" s="62">
        <v>0</v>
      </c>
      <c r="S275" s="57">
        <v>1257700</v>
      </c>
      <c r="T275" s="57">
        <v>223000</v>
      </c>
      <c r="U275" s="57">
        <v>5815091</v>
      </c>
      <c r="V275" s="57">
        <f t="shared" ref="V275:V283" si="37">U275+T275</f>
        <v>6038091</v>
      </c>
      <c r="W275" s="57"/>
      <c r="X275" s="57"/>
      <c r="Y275" s="22">
        <v>369</v>
      </c>
      <c r="Z275" s="74">
        <f t="shared" ref="Z275:Z283" si="38">V275/(Y275*1000000)</f>
        <v>1.6363390243902438E-2</v>
      </c>
      <c r="AA275" s="74">
        <f t="shared" ref="AA275:AA283" si="39">S275/(Y275*1000000)</f>
        <v>3.4084010840108401E-3</v>
      </c>
      <c r="AB275" s="57"/>
      <c r="AC275" s="57">
        <v>461</v>
      </c>
      <c r="AD275" s="57">
        <v>970000</v>
      </c>
      <c r="AE275" s="64">
        <v>0</v>
      </c>
      <c r="AF275" s="64">
        <v>0</v>
      </c>
      <c r="AG275" s="64">
        <v>0</v>
      </c>
      <c r="AH275" s="76">
        <v>0.21240953077986502</v>
      </c>
      <c r="AI275" s="54">
        <v>1</v>
      </c>
      <c r="AJ275" s="34"/>
      <c r="AK275" s="78" t="s">
        <v>818</v>
      </c>
      <c r="AL275" s="34"/>
    </row>
    <row r="276" spans="1:38" ht="14.5">
      <c r="A276" s="22">
        <v>2010</v>
      </c>
      <c r="B276" s="24" t="s">
        <v>349</v>
      </c>
      <c r="C276" s="24" t="s">
        <v>350</v>
      </c>
      <c r="D276" s="24" t="s">
        <v>105</v>
      </c>
      <c r="E276" s="22">
        <v>11</v>
      </c>
      <c r="F276" s="54" t="s">
        <v>142</v>
      </c>
      <c r="G276" s="617">
        <v>40543</v>
      </c>
      <c r="H276" s="57">
        <v>967000</v>
      </c>
      <c r="I276" s="59"/>
      <c r="J276" s="57">
        <v>20328787</v>
      </c>
      <c r="K276" s="87">
        <f t="shared" si="36"/>
        <v>21.022530506721822</v>
      </c>
      <c r="L276" s="620">
        <f>60823730.704/M276</f>
        <v>0.10659609306694708</v>
      </c>
      <c r="M276" s="57">
        <v>570600000</v>
      </c>
      <c r="N276" s="54">
        <v>0</v>
      </c>
      <c r="O276" s="54">
        <v>0</v>
      </c>
      <c r="P276" s="57"/>
      <c r="Q276" s="62">
        <v>0</v>
      </c>
      <c r="R276" s="62">
        <v>0</v>
      </c>
      <c r="S276" s="57">
        <v>1149584</v>
      </c>
      <c r="T276" s="57">
        <v>223000</v>
      </c>
      <c r="U276" s="57">
        <v>5244183</v>
      </c>
      <c r="V276" s="57">
        <f t="shared" si="37"/>
        <v>5467183</v>
      </c>
      <c r="W276" s="57"/>
      <c r="X276" s="57"/>
      <c r="Y276" s="22">
        <v>373</v>
      </c>
      <c r="Z276" s="74">
        <f t="shared" si="38"/>
        <v>1.465732707774799E-2</v>
      </c>
      <c r="AA276" s="74">
        <f t="shared" si="39"/>
        <v>3.0819946380697049E-3</v>
      </c>
      <c r="AB276" s="57"/>
      <c r="AC276" s="57">
        <v>574</v>
      </c>
      <c r="AD276" s="57">
        <v>1150000</v>
      </c>
      <c r="AE276" s="57">
        <v>106800</v>
      </c>
      <c r="AF276" s="57">
        <v>16894.442326887718</v>
      </c>
      <c r="AG276" s="76">
        <v>1.4690819414684973E-2</v>
      </c>
      <c r="AH276" s="76">
        <v>0.13592700479780673</v>
      </c>
      <c r="AI276" s="54">
        <v>0</v>
      </c>
      <c r="AJ276" s="34"/>
      <c r="AK276" s="78" t="s">
        <v>831</v>
      </c>
      <c r="AL276" s="34"/>
    </row>
    <row r="277" spans="1:38" ht="14.5">
      <c r="A277" s="22">
        <v>2011</v>
      </c>
      <c r="B277" s="24" t="s">
        <v>349</v>
      </c>
      <c r="C277" s="24" t="s">
        <v>350</v>
      </c>
      <c r="D277" s="24" t="s">
        <v>105</v>
      </c>
      <c r="E277" s="22">
        <v>11</v>
      </c>
      <c r="F277" s="54" t="s">
        <v>142</v>
      </c>
      <c r="G277" s="617">
        <v>40908</v>
      </c>
      <c r="H277" s="57">
        <v>972000</v>
      </c>
      <c r="I277" s="59"/>
      <c r="J277" s="84">
        <v>24239721</v>
      </c>
      <c r="K277" s="87">
        <f t="shared" si="36"/>
        <v>24.937984567901236</v>
      </c>
      <c r="L277" s="620">
        <f>86119431.95/M277</f>
        <v>9.4138322540658362E-2</v>
      </c>
      <c r="M277" s="57">
        <v>914818000</v>
      </c>
      <c r="N277" s="54">
        <v>23049600</v>
      </c>
      <c r="O277" s="54">
        <v>19994016.619570244</v>
      </c>
      <c r="P277" s="57"/>
      <c r="Q277" s="62">
        <v>0.82484516301034339</v>
      </c>
      <c r="R277" s="62">
        <v>0</v>
      </c>
      <c r="S277" s="57">
        <v>1402166</v>
      </c>
      <c r="T277" s="57">
        <v>223000</v>
      </c>
      <c r="U277" s="57">
        <v>4888841</v>
      </c>
      <c r="V277" s="57">
        <f t="shared" si="37"/>
        <v>5111841</v>
      </c>
      <c r="W277" s="57"/>
      <c r="X277" s="57"/>
      <c r="Y277" s="22">
        <v>376</v>
      </c>
      <c r="Z277" s="74">
        <f t="shared" si="38"/>
        <v>1.3595321808510639E-2</v>
      </c>
      <c r="AA277" s="74">
        <f t="shared" si="39"/>
        <v>3.7291648936170212E-3</v>
      </c>
      <c r="AB277" s="57"/>
      <c r="AC277" s="57">
        <v>636</v>
      </c>
      <c r="AD277" s="57">
        <v>875000</v>
      </c>
      <c r="AE277" s="64">
        <v>0</v>
      </c>
      <c r="AF277" s="64">
        <v>0</v>
      </c>
      <c r="AG277" s="64">
        <v>0</v>
      </c>
      <c r="AH277" s="76">
        <v>0.106246940718521</v>
      </c>
      <c r="AI277" s="54">
        <v>1</v>
      </c>
      <c r="AJ277" s="34"/>
      <c r="AK277" s="34"/>
      <c r="AL277" s="34"/>
    </row>
    <row r="278" spans="1:38" ht="14.5">
      <c r="A278" s="22">
        <v>2012</v>
      </c>
      <c r="B278" s="24" t="s">
        <v>349</v>
      </c>
      <c r="C278" s="24" t="s">
        <v>350</v>
      </c>
      <c r="D278" s="24" t="s">
        <v>105</v>
      </c>
      <c r="E278" s="22">
        <v>11</v>
      </c>
      <c r="F278" s="54" t="s">
        <v>142</v>
      </c>
      <c r="G278" s="617">
        <v>41274</v>
      </c>
      <c r="H278" s="57">
        <v>830000</v>
      </c>
      <c r="I278" s="59"/>
      <c r="J278" s="84">
        <v>28665970</v>
      </c>
      <c r="K278" s="87">
        <f t="shared" si="36"/>
        <v>34.537313253012051</v>
      </c>
      <c r="L278" s="620">
        <f>104492392.204/M278</f>
        <v>0.1102240424092827</v>
      </c>
      <c r="M278" s="57">
        <v>948000000</v>
      </c>
      <c r="N278" s="54">
        <v>24822000</v>
      </c>
      <c r="O278" s="54">
        <v>17443905.341828063</v>
      </c>
      <c r="P278" s="57"/>
      <c r="Q278" s="88">
        <v>0.60852311440457318</v>
      </c>
      <c r="R278" s="62">
        <v>0</v>
      </c>
      <c r="S278" s="57">
        <v>1619100</v>
      </c>
      <c r="T278" s="57">
        <v>223000</v>
      </c>
      <c r="U278" s="57">
        <v>4920101</v>
      </c>
      <c r="V278" s="57">
        <f t="shared" si="37"/>
        <v>5143101</v>
      </c>
      <c r="W278" s="57"/>
      <c r="X278" s="57"/>
      <c r="Y278" s="22">
        <v>377</v>
      </c>
      <c r="Z278" s="74">
        <f t="shared" si="38"/>
        <v>1.3642177718832891E-2</v>
      </c>
      <c r="AA278" s="74">
        <f t="shared" si="39"/>
        <v>4.2946949602122014E-3</v>
      </c>
      <c r="AB278" s="57"/>
      <c r="AC278" s="57">
        <v>715</v>
      </c>
      <c r="AD278" s="57">
        <v>912500</v>
      </c>
      <c r="AE278" s="64">
        <v>0</v>
      </c>
      <c r="AF278" s="64">
        <v>0</v>
      </c>
      <c r="AG278" s="64">
        <v>0</v>
      </c>
      <c r="AH278" s="76">
        <v>0.11407185628742515</v>
      </c>
      <c r="AI278" s="54">
        <v>1</v>
      </c>
      <c r="AJ278" s="34"/>
      <c r="AK278" s="78" t="s">
        <v>837</v>
      </c>
      <c r="AL278" s="34"/>
    </row>
    <row r="279" spans="1:38" ht="14.5">
      <c r="A279" s="22">
        <v>2013</v>
      </c>
      <c r="B279" s="24" t="s">
        <v>349</v>
      </c>
      <c r="C279" s="24" t="s">
        <v>350</v>
      </c>
      <c r="D279" s="24" t="s">
        <v>105</v>
      </c>
      <c r="E279" s="22">
        <v>11</v>
      </c>
      <c r="F279" s="54" t="s">
        <v>142</v>
      </c>
      <c r="G279" s="617">
        <v>41639</v>
      </c>
      <c r="H279" s="57">
        <v>835000</v>
      </c>
      <c r="I279" s="59"/>
      <c r="J279" s="84">
        <v>31296612</v>
      </c>
      <c r="K279" s="87">
        <f t="shared" si="36"/>
        <v>37.48097245508982</v>
      </c>
      <c r="L279" s="620">
        <f>114488457/M279</f>
        <v>0.14186921561338289</v>
      </c>
      <c r="M279" s="57">
        <v>807000000</v>
      </c>
      <c r="N279" s="54">
        <v>25200000</v>
      </c>
      <c r="O279" s="54">
        <v>23454486.330404904</v>
      </c>
      <c r="P279" s="57"/>
      <c r="Q279" s="88">
        <v>0.74942573114319544</v>
      </c>
      <c r="R279" s="62">
        <v>0</v>
      </c>
      <c r="S279" s="57">
        <v>2163350</v>
      </c>
      <c r="T279" s="57">
        <v>223000</v>
      </c>
      <c r="U279" s="57">
        <v>4453028</v>
      </c>
      <c r="V279" s="57">
        <f t="shared" si="37"/>
        <v>4676028</v>
      </c>
      <c r="W279" s="57"/>
      <c r="X279" s="236" t="s">
        <v>841</v>
      </c>
      <c r="Y279" s="22">
        <v>377</v>
      </c>
      <c r="Z279" s="74">
        <f t="shared" si="38"/>
        <v>1.2403257294429709E-2</v>
      </c>
      <c r="AA279" s="74">
        <f t="shared" si="39"/>
        <v>5.7383289124668434E-3</v>
      </c>
      <c r="AB279" s="57"/>
      <c r="AC279" s="57">
        <v>801</v>
      </c>
      <c r="AD279" s="57">
        <v>867500</v>
      </c>
      <c r="AE279" s="64">
        <v>0</v>
      </c>
      <c r="AF279" s="64">
        <v>0</v>
      </c>
      <c r="AG279" s="64">
        <v>0</v>
      </c>
      <c r="AH279" s="76">
        <v>0.1740040101124575</v>
      </c>
      <c r="AI279" s="54">
        <v>1</v>
      </c>
      <c r="AJ279" s="34"/>
      <c r="AK279" s="78" t="s">
        <v>844</v>
      </c>
      <c r="AL279" s="34"/>
    </row>
    <row r="280" spans="1:38" ht="14.5">
      <c r="A280" s="22">
        <v>2014</v>
      </c>
      <c r="B280" s="24" t="s">
        <v>349</v>
      </c>
      <c r="C280" s="24" t="s">
        <v>350</v>
      </c>
      <c r="D280" s="24" t="s">
        <v>105</v>
      </c>
      <c r="E280" s="22">
        <v>11</v>
      </c>
      <c r="F280" s="54" t="s">
        <v>142</v>
      </c>
      <c r="G280" s="617">
        <v>42004</v>
      </c>
      <c r="H280" s="57">
        <v>835000</v>
      </c>
      <c r="I280" s="59"/>
      <c r="J280" s="84">
        <v>40416794</v>
      </c>
      <c r="K280" s="87">
        <f t="shared" si="36"/>
        <v>48.403346107784429</v>
      </c>
      <c r="L280" s="620">
        <f>136296036.56/M280</f>
        <v>0.15264423402396685</v>
      </c>
      <c r="M280" s="57">
        <v>892900000</v>
      </c>
      <c r="N280" s="54">
        <v>124614003</v>
      </c>
      <c r="O280" s="54">
        <v>34522783</v>
      </c>
      <c r="P280" s="57"/>
      <c r="Q280" s="88">
        <v>0.85416925944200328</v>
      </c>
      <c r="R280" s="62">
        <v>0</v>
      </c>
      <c r="S280" s="54">
        <v>2760550</v>
      </c>
      <c r="T280" s="54">
        <v>486824</v>
      </c>
      <c r="U280" s="54">
        <v>873385</v>
      </c>
      <c r="V280" s="57">
        <f t="shared" si="37"/>
        <v>1360209</v>
      </c>
      <c r="W280" s="57" t="s">
        <v>849</v>
      </c>
      <c r="X280" s="57"/>
      <c r="Y280" s="22">
        <v>377</v>
      </c>
      <c r="Z280" s="74">
        <f t="shared" si="38"/>
        <v>3.6079814323607428E-3</v>
      </c>
      <c r="AA280" s="74">
        <f t="shared" si="39"/>
        <v>7.3224137931034482E-3</v>
      </c>
      <c r="AB280" s="57"/>
      <c r="AC280" s="57">
        <v>848</v>
      </c>
      <c r="AD280" s="57">
        <v>840000</v>
      </c>
      <c r="AE280" s="64">
        <v>0</v>
      </c>
      <c r="AF280" s="64">
        <v>0</v>
      </c>
      <c r="AG280" s="64">
        <v>0</v>
      </c>
      <c r="AH280" s="157">
        <v>0</v>
      </c>
      <c r="AI280" s="54">
        <v>0</v>
      </c>
      <c r="AJ280" s="34"/>
      <c r="AK280" s="78" t="s">
        <v>850</v>
      </c>
      <c r="AL280" s="34"/>
    </row>
    <row r="281" spans="1:38" ht="14.5">
      <c r="A281" s="22">
        <v>2015</v>
      </c>
      <c r="B281" s="24" t="s">
        <v>349</v>
      </c>
      <c r="C281" s="24" t="s">
        <v>350</v>
      </c>
      <c r="D281" s="24" t="s">
        <v>105</v>
      </c>
      <c r="E281" s="22">
        <v>11</v>
      </c>
      <c r="F281" s="54" t="s">
        <v>142</v>
      </c>
      <c r="G281" s="617">
        <v>42369</v>
      </c>
      <c r="H281" s="67">
        <v>844000</v>
      </c>
      <c r="I281" s="59"/>
      <c r="J281" s="84">
        <v>41273092</v>
      </c>
      <c r="K281" s="87">
        <f t="shared" si="36"/>
        <v>48.901767772511846</v>
      </c>
      <c r="L281" s="620">
        <f>91172703.172/M281</f>
        <v>9.3837693672293138E-2</v>
      </c>
      <c r="M281" s="57">
        <v>971600000</v>
      </c>
      <c r="N281" s="54">
        <v>69048002</v>
      </c>
      <c r="O281" s="54">
        <v>34213173.405932665</v>
      </c>
      <c r="P281" s="57"/>
      <c r="Q281" s="88">
        <v>0.82894621527102119</v>
      </c>
      <c r="R281" s="62">
        <v>0</v>
      </c>
      <c r="S281" s="57">
        <v>3303350</v>
      </c>
      <c r="T281" s="57">
        <v>808390</v>
      </c>
      <c r="U281" s="57">
        <v>920106</v>
      </c>
      <c r="V281" s="57">
        <f t="shared" si="37"/>
        <v>1728496</v>
      </c>
      <c r="W281" s="57"/>
      <c r="X281" s="57"/>
      <c r="Y281" s="22">
        <v>393</v>
      </c>
      <c r="Z281" s="74">
        <f t="shared" si="38"/>
        <v>4.3982086513994914E-3</v>
      </c>
      <c r="AA281" s="74">
        <f t="shared" si="39"/>
        <v>8.4054707379134855E-3</v>
      </c>
      <c r="AB281" s="57"/>
      <c r="AC281" s="57">
        <v>835</v>
      </c>
      <c r="AD281" s="57">
        <v>785000</v>
      </c>
      <c r="AE281" s="64">
        <v>0</v>
      </c>
      <c r="AF281" s="64">
        <v>0</v>
      </c>
      <c r="AG281" s="64">
        <v>0</v>
      </c>
      <c r="AH281" s="157">
        <v>0</v>
      </c>
      <c r="AI281" s="54">
        <v>0</v>
      </c>
      <c r="AJ281" s="34"/>
      <c r="AK281" s="78" t="s">
        <v>852</v>
      </c>
      <c r="AL281" s="34"/>
    </row>
    <row r="282" spans="1:38" ht="14.5">
      <c r="A282" s="22">
        <v>2016</v>
      </c>
      <c r="B282" s="24" t="s">
        <v>349</v>
      </c>
      <c r="C282" s="24" t="s">
        <v>350</v>
      </c>
      <c r="D282" s="24" t="s">
        <v>105</v>
      </c>
      <c r="E282" s="22">
        <v>11</v>
      </c>
      <c r="F282" s="54" t="s">
        <v>142</v>
      </c>
      <c r="G282" s="617">
        <v>42735</v>
      </c>
      <c r="H282" s="57">
        <v>813000</v>
      </c>
      <c r="I282" s="59"/>
      <c r="J282" s="84">
        <v>44258751</v>
      </c>
      <c r="K282" s="87">
        <f t="shared" si="36"/>
        <v>54.438808118081184</v>
      </c>
      <c r="L282" s="620">
        <f>82314003.756/M282</f>
        <v>9.3020684547406488E-2</v>
      </c>
      <c r="M282" s="57">
        <v>884900000</v>
      </c>
      <c r="N282" s="54">
        <v>37800000</v>
      </c>
      <c r="O282" s="54">
        <v>17327776.03244365</v>
      </c>
      <c r="P282" s="57"/>
      <c r="Q282" s="88">
        <v>0.39151073270105724</v>
      </c>
      <c r="R282" s="62">
        <v>0</v>
      </c>
      <c r="S282" s="57">
        <v>4158350</v>
      </c>
      <c r="T282" s="57">
        <v>2204917.9190000002</v>
      </c>
      <c r="U282" s="57">
        <v>1044587</v>
      </c>
      <c r="V282" s="57">
        <f t="shared" si="37"/>
        <v>3249504.9190000002</v>
      </c>
      <c r="W282" s="57"/>
      <c r="X282" s="57"/>
      <c r="Y282" s="22">
        <v>454</v>
      </c>
      <c r="Z282" s="74">
        <f t="shared" si="38"/>
        <v>7.1574998215859038E-3</v>
      </c>
      <c r="AA282" s="74">
        <f t="shared" si="39"/>
        <v>9.1593612334801757E-3</v>
      </c>
      <c r="AB282" s="57"/>
      <c r="AC282" s="57">
        <v>739</v>
      </c>
      <c r="AD282" s="57">
        <v>865000</v>
      </c>
      <c r="AE282" s="64">
        <v>0</v>
      </c>
      <c r="AF282" s="64">
        <v>0</v>
      </c>
      <c r="AG282" s="64">
        <v>0</v>
      </c>
      <c r="AH282" s="157">
        <v>0</v>
      </c>
      <c r="AI282" s="54">
        <v>0</v>
      </c>
      <c r="AJ282" s="34"/>
      <c r="AK282" s="78" t="s">
        <v>858</v>
      </c>
      <c r="AL282" s="34"/>
    </row>
    <row r="283" spans="1:38" ht="14.5">
      <c r="A283" s="22">
        <v>2017</v>
      </c>
      <c r="B283" s="24" t="s">
        <v>349</v>
      </c>
      <c r="C283" s="24" t="s">
        <v>350</v>
      </c>
      <c r="D283" s="24" t="s">
        <v>105</v>
      </c>
      <c r="E283" s="22">
        <v>11</v>
      </c>
      <c r="F283" s="54" t="s">
        <v>142</v>
      </c>
      <c r="G283" s="617">
        <v>43100</v>
      </c>
      <c r="H283" s="67">
        <v>882000</v>
      </c>
      <c r="I283" s="59"/>
      <c r="J283" s="84">
        <v>44377793</v>
      </c>
      <c r="K283" s="87">
        <f t="shared" si="36"/>
        <v>50.31495804988662</v>
      </c>
      <c r="L283" s="620">
        <f>97014374.542/M283</f>
        <v>0.1029876587494692</v>
      </c>
      <c r="M283" s="57">
        <v>942000000</v>
      </c>
      <c r="N283" s="54">
        <v>101136003</v>
      </c>
      <c r="O283" s="54">
        <v>96954400.975330189</v>
      </c>
      <c r="P283" s="57"/>
      <c r="Q283" s="88">
        <v>2.1847503992668176</v>
      </c>
      <c r="R283" s="62">
        <v>0</v>
      </c>
      <c r="S283" s="57">
        <v>5172550</v>
      </c>
      <c r="T283" s="57">
        <v>2777311</v>
      </c>
      <c r="U283" s="57">
        <v>1164749</v>
      </c>
      <c r="V283" s="57">
        <f t="shared" si="37"/>
        <v>3942060</v>
      </c>
      <c r="W283" s="57"/>
      <c r="X283" s="57"/>
      <c r="Y283" s="22">
        <v>466</v>
      </c>
      <c r="Z283" s="74">
        <f t="shared" si="38"/>
        <v>8.459356223175965E-3</v>
      </c>
      <c r="AA283" s="74">
        <f t="shared" si="39"/>
        <v>1.1099892703862661E-2</v>
      </c>
      <c r="AB283" s="34"/>
      <c r="AC283" s="57">
        <v>755</v>
      </c>
      <c r="AD283" s="57">
        <v>875000</v>
      </c>
      <c r="AE283" s="64">
        <v>0</v>
      </c>
      <c r="AF283" s="64">
        <v>0</v>
      </c>
      <c r="AG283" s="64">
        <v>0</v>
      </c>
      <c r="AH283" s="157">
        <v>0</v>
      </c>
      <c r="AI283" s="54">
        <v>0</v>
      </c>
      <c r="AJ283" s="34"/>
      <c r="AK283" s="78" t="s">
        <v>866</v>
      </c>
      <c r="AL283" s="34"/>
    </row>
    <row r="284" spans="1:38" ht="14.5">
      <c r="A284" s="40">
        <v>2004</v>
      </c>
      <c r="B284" s="41" t="s">
        <v>869</v>
      </c>
      <c r="C284" s="41" t="s">
        <v>870</v>
      </c>
      <c r="D284" s="41" t="s">
        <v>105</v>
      </c>
      <c r="E284" s="40">
        <v>12</v>
      </c>
      <c r="H284" s="43"/>
      <c r="I284" s="117"/>
      <c r="J284" s="43"/>
      <c r="K284" s="44"/>
      <c r="L284" s="45"/>
      <c r="M284" s="43"/>
      <c r="N284" s="46"/>
      <c r="O284" s="46"/>
      <c r="P284" s="45"/>
      <c r="Q284" s="45"/>
      <c r="R284" s="45"/>
      <c r="S284" s="43"/>
      <c r="T284" s="43"/>
      <c r="U284" s="43"/>
      <c r="V284" s="43"/>
      <c r="W284" s="43"/>
      <c r="X284" s="43"/>
      <c r="Y284" s="43"/>
      <c r="Z284" s="43"/>
      <c r="AA284" s="43"/>
      <c r="AB284" s="43"/>
      <c r="AC284" s="43">
        <f>AVERAGE(AC275:AC283)</f>
        <v>707.11111111111109</v>
      </c>
      <c r="AD284" s="43"/>
      <c r="AE284" s="48"/>
      <c r="AF284" s="48"/>
      <c r="AG284" s="48"/>
      <c r="AH284" s="50"/>
    </row>
    <row r="285" spans="1:38" ht="14.5">
      <c r="A285" s="40">
        <v>2005</v>
      </c>
      <c r="B285" s="41" t="s">
        <v>869</v>
      </c>
      <c r="C285" s="41" t="s">
        <v>870</v>
      </c>
      <c r="D285" s="41" t="s">
        <v>105</v>
      </c>
      <c r="E285" s="40">
        <v>12</v>
      </c>
      <c r="H285" s="43"/>
      <c r="I285" s="117"/>
      <c r="J285" s="43"/>
      <c r="K285" s="44"/>
      <c r="L285" s="45"/>
      <c r="M285" s="43"/>
      <c r="N285" s="46"/>
      <c r="O285" s="46"/>
      <c r="P285" s="45"/>
      <c r="Q285" s="45"/>
      <c r="R285" s="45"/>
      <c r="S285" s="43"/>
      <c r="T285" s="43"/>
      <c r="U285" s="43"/>
      <c r="V285" s="43"/>
      <c r="W285" s="43"/>
      <c r="X285" s="43"/>
      <c r="Y285" s="43"/>
      <c r="Z285" s="43"/>
      <c r="AA285" s="43"/>
      <c r="AB285" s="43"/>
      <c r="AC285" s="43"/>
      <c r="AD285" s="43"/>
      <c r="AE285" s="48"/>
      <c r="AF285" s="48"/>
      <c r="AG285" s="48"/>
      <c r="AH285" s="50"/>
    </row>
    <row r="286" spans="1:38" ht="14.5">
      <c r="A286" s="40">
        <v>2006</v>
      </c>
      <c r="B286" s="41" t="s">
        <v>869</v>
      </c>
      <c r="C286" s="41" t="s">
        <v>870</v>
      </c>
      <c r="D286" s="41" t="s">
        <v>105</v>
      </c>
      <c r="E286" s="40">
        <v>12</v>
      </c>
      <c r="H286" s="43"/>
      <c r="I286" s="117"/>
      <c r="J286" s="43"/>
      <c r="K286" s="44"/>
      <c r="L286" s="45"/>
      <c r="M286" s="43"/>
      <c r="N286" s="46"/>
      <c r="O286" s="46"/>
      <c r="P286" s="45"/>
      <c r="Q286" s="45"/>
      <c r="R286" s="45"/>
      <c r="S286" s="43"/>
      <c r="T286" s="43"/>
      <c r="U286" s="43"/>
      <c r="V286" s="43"/>
      <c r="W286" s="43"/>
      <c r="X286" s="43"/>
      <c r="Y286" s="43"/>
      <c r="Z286" s="43"/>
      <c r="AA286" s="43"/>
      <c r="AB286" s="43"/>
      <c r="AC286" s="43"/>
      <c r="AD286" s="43"/>
      <c r="AE286" s="48"/>
      <c r="AF286" s="48"/>
      <c r="AG286" s="48"/>
      <c r="AH286" s="50"/>
    </row>
    <row r="287" spans="1:38" ht="14.5">
      <c r="A287" s="40">
        <v>2007</v>
      </c>
      <c r="B287" s="41" t="s">
        <v>869</v>
      </c>
      <c r="C287" s="41" t="s">
        <v>870</v>
      </c>
      <c r="D287" s="41" t="s">
        <v>105</v>
      </c>
      <c r="E287" s="40">
        <v>12</v>
      </c>
      <c r="H287" s="43"/>
      <c r="I287" s="117"/>
      <c r="J287" s="43"/>
      <c r="K287" s="44"/>
      <c r="L287" s="45"/>
      <c r="M287" s="43"/>
      <c r="N287" s="46"/>
      <c r="O287" s="46"/>
      <c r="P287" s="45"/>
      <c r="Q287" s="45"/>
      <c r="R287" s="45"/>
      <c r="S287" s="43"/>
      <c r="T287" s="43"/>
      <c r="U287" s="43"/>
      <c r="V287" s="43"/>
      <c r="W287" s="43"/>
      <c r="X287" s="43"/>
      <c r="Y287" s="43"/>
      <c r="Z287" s="43"/>
      <c r="AA287" s="43"/>
      <c r="AB287" s="43"/>
      <c r="AC287" s="43"/>
      <c r="AD287" s="43"/>
      <c r="AE287" s="48"/>
      <c r="AF287" s="48"/>
      <c r="AG287" s="48"/>
      <c r="AH287" s="50"/>
    </row>
    <row r="288" spans="1:38" ht="14.5">
      <c r="A288" s="40">
        <v>2008</v>
      </c>
      <c r="B288" s="41" t="s">
        <v>869</v>
      </c>
      <c r="C288" s="41" t="s">
        <v>870</v>
      </c>
      <c r="D288" s="41" t="s">
        <v>105</v>
      </c>
      <c r="E288" s="40">
        <v>12</v>
      </c>
      <c r="H288" s="43"/>
      <c r="I288" s="117"/>
      <c r="J288" s="43"/>
      <c r="K288" s="44"/>
      <c r="L288" s="45"/>
      <c r="M288" s="43"/>
      <c r="N288" s="46"/>
      <c r="O288" s="46"/>
      <c r="P288" s="45"/>
      <c r="Q288" s="45"/>
      <c r="R288" s="45"/>
      <c r="S288" s="43"/>
      <c r="T288" s="43"/>
      <c r="U288" s="43"/>
      <c r="V288" s="43"/>
      <c r="W288" s="43"/>
      <c r="X288" s="43"/>
      <c r="Y288" s="43"/>
      <c r="Z288" s="43"/>
      <c r="AA288" s="43"/>
      <c r="AB288" s="43"/>
      <c r="AC288" s="43"/>
      <c r="AD288" s="43"/>
      <c r="AE288" s="48"/>
      <c r="AF288" s="48"/>
      <c r="AG288" s="48"/>
      <c r="AH288" s="50"/>
    </row>
    <row r="289" spans="1:38" ht="14.5">
      <c r="A289" s="40">
        <v>2009</v>
      </c>
      <c r="B289" s="41" t="s">
        <v>869</v>
      </c>
      <c r="C289" s="41" t="s">
        <v>870</v>
      </c>
      <c r="D289" s="41" t="s">
        <v>105</v>
      </c>
      <c r="E289" s="40">
        <v>12</v>
      </c>
      <c r="H289" s="43"/>
      <c r="I289" s="117"/>
      <c r="J289" s="43"/>
      <c r="K289" s="44"/>
      <c r="L289" s="45"/>
      <c r="M289" s="43"/>
      <c r="N289" s="46"/>
      <c r="O289" s="46"/>
      <c r="P289" s="45"/>
      <c r="Q289" s="45"/>
      <c r="R289" s="45"/>
      <c r="S289" s="43"/>
      <c r="T289" s="43"/>
      <c r="U289" s="43"/>
      <c r="V289" s="43"/>
      <c r="W289" s="43"/>
      <c r="X289" s="43"/>
      <c r="Y289" s="43"/>
      <c r="Z289" s="43"/>
      <c r="AA289" s="43"/>
      <c r="AB289" s="43"/>
      <c r="AC289" s="43"/>
      <c r="AD289" s="43"/>
      <c r="AE289" s="48"/>
      <c r="AF289" s="48"/>
      <c r="AG289" s="48"/>
      <c r="AH289" s="50"/>
    </row>
    <row r="290" spans="1:38" ht="14.5">
      <c r="A290" s="40">
        <v>2010</v>
      </c>
      <c r="B290" s="41" t="s">
        <v>869</v>
      </c>
      <c r="C290" s="41" t="s">
        <v>870</v>
      </c>
      <c r="D290" s="41" t="s">
        <v>105</v>
      </c>
      <c r="E290" s="40">
        <v>12</v>
      </c>
      <c r="H290" s="43"/>
      <c r="I290" s="117"/>
      <c r="J290" s="43"/>
      <c r="K290" s="44"/>
      <c r="L290" s="45"/>
      <c r="M290" s="43"/>
      <c r="N290" s="46"/>
      <c r="O290" s="46"/>
      <c r="P290" s="45"/>
      <c r="Q290" s="45"/>
      <c r="R290" s="45"/>
      <c r="S290" s="43"/>
      <c r="T290" s="43"/>
      <c r="U290" s="43"/>
      <c r="V290" s="43"/>
      <c r="W290" s="43"/>
      <c r="X290" s="43"/>
      <c r="Y290" s="43"/>
      <c r="Z290" s="43"/>
      <c r="AA290" s="43"/>
      <c r="AB290" s="43"/>
      <c r="AC290" s="43"/>
      <c r="AD290" s="43"/>
      <c r="AE290" s="48"/>
      <c r="AF290" s="48"/>
      <c r="AG290" s="48"/>
      <c r="AH290" s="50"/>
    </row>
    <row r="291" spans="1:38" ht="14.5">
      <c r="A291" s="40">
        <v>2011</v>
      </c>
      <c r="B291" s="41" t="s">
        <v>869</v>
      </c>
      <c r="C291" s="41" t="s">
        <v>870</v>
      </c>
      <c r="D291" s="41" t="s">
        <v>105</v>
      </c>
      <c r="E291" s="40">
        <v>12</v>
      </c>
      <c r="H291" s="43"/>
      <c r="I291" s="117"/>
      <c r="J291" s="43"/>
      <c r="K291" s="44"/>
      <c r="L291" s="45"/>
      <c r="M291" s="43"/>
      <c r="N291" s="46"/>
      <c r="O291" s="46"/>
      <c r="P291" s="45"/>
      <c r="Q291" s="45"/>
      <c r="R291" s="45"/>
      <c r="S291" s="43"/>
      <c r="T291" s="43"/>
      <c r="U291" s="43"/>
      <c r="V291" s="43"/>
      <c r="W291" s="43"/>
      <c r="X291" s="43"/>
      <c r="Y291" s="43"/>
      <c r="Z291" s="43"/>
      <c r="AA291" s="43"/>
      <c r="AB291" s="43"/>
      <c r="AC291" s="43"/>
      <c r="AD291" s="43"/>
      <c r="AE291" s="48"/>
      <c r="AF291" s="48"/>
      <c r="AG291" s="48"/>
      <c r="AH291" s="50"/>
    </row>
    <row r="292" spans="1:38" ht="14.5">
      <c r="A292" s="40">
        <v>2012</v>
      </c>
      <c r="B292" s="41" t="s">
        <v>869</v>
      </c>
      <c r="C292" s="41" t="s">
        <v>870</v>
      </c>
      <c r="D292" s="41" t="s">
        <v>105</v>
      </c>
      <c r="E292" s="40">
        <v>12</v>
      </c>
      <c r="H292" s="43"/>
      <c r="I292" s="117"/>
      <c r="J292" s="43"/>
      <c r="K292" s="44"/>
      <c r="L292" s="45"/>
      <c r="M292" s="43"/>
      <c r="N292" s="46"/>
      <c r="O292" s="46"/>
      <c r="P292" s="45"/>
      <c r="Q292" s="45"/>
      <c r="R292" s="45"/>
      <c r="S292" s="43"/>
      <c r="T292" s="43"/>
      <c r="U292" s="43"/>
      <c r="V292" s="43"/>
      <c r="W292" s="43"/>
      <c r="X292" s="43"/>
      <c r="Y292" s="43"/>
      <c r="Z292" s="43"/>
      <c r="AA292" s="43"/>
      <c r="AB292" s="43"/>
      <c r="AC292" s="43"/>
      <c r="AD292" s="43"/>
      <c r="AE292" s="48"/>
      <c r="AF292" s="48"/>
      <c r="AG292" s="48"/>
      <c r="AH292" s="50"/>
    </row>
    <row r="293" spans="1:38" ht="14.5">
      <c r="A293" s="40">
        <v>2013</v>
      </c>
      <c r="B293" s="41" t="s">
        <v>869</v>
      </c>
      <c r="C293" s="41" t="s">
        <v>870</v>
      </c>
      <c r="D293" s="41" t="s">
        <v>105</v>
      </c>
      <c r="E293" s="40">
        <v>12</v>
      </c>
      <c r="H293" s="43"/>
      <c r="I293" s="117"/>
      <c r="J293" s="43"/>
      <c r="K293" s="44"/>
      <c r="L293" s="45"/>
      <c r="M293" s="43"/>
      <c r="N293" s="46"/>
      <c r="O293" s="46"/>
      <c r="P293" s="45"/>
      <c r="Q293" s="45"/>
      <c r="R293" s="45"/>
      <c r="S293" s="43"/>
      <c r="T293" s="43"/>
      <c r="U293" s="43"/>
      <c r="V293" s="43"/>
      <c r="W293" s="43"/>
      <c r="X293" s="43"/>
      <c r="Y293" s="43"/>
      <c r="Z293" s="43"/>
      <c r="AA293" s="43"/>
      <c r="AB293" s="43"/>
      <c r="AC293" s="43"/>
      <c r="AD293" s="43"/>
      <c r="AE293" s="48"/>
      <c r="AF293" s="48"/>
      <c r="AG293" s="48"/>
      <c r="AH293" s="50"/>
    </row>
    <row r="294" spans="1:38" ht="14.5">
      <c r="A294" s="40">
        <v>2014</v>
      </c>
      <c r="B294" s="41" t="s">
        <v>869</v>
      </c>
      <c r="C294" s="41" t="s">
        <v>870</v>
      </c>
      <c r="D294" s="41" t="s">
        <v>105</v>
      </c>
      <c r="E294" s="40">
        <v>12</v>
      </c>
      <c r="H294" s="43"/>
      <c r="I294" s="117"/>
      <c r="J294" s="43"/>
      <c r="K294" s="44"/>
      <c r="L294" s="45"/>
      <c r="M294" s="43"/>
      <c r="N294" s="46"/>
      <c r="O294" s="46"/>
      <c r="P294" s="45"/>
      <c r="Q294" s="45"/>
      <c r="R294" s="45"/>
      <c r="S294" s="43"/>
      <c r="T294" s="43"/>
      <c r="U294" s="43"/>
      <c r="V294" s="43"/>
      <c r="W294" s="43"/>
      <c r="X294" s="43"/>
      <c r="Y294" s="43"/>
      <c r="Z294" s="43"/>
      <c r="AA294" s="43"/>
      <c r="AB294" s="43"/>
      <c r="AC294" s="43"/>
      <c r="AD294" s="43"/>
      <c r="AE294" s="48"/>
      <c r="AF294" s="48"/>
      <c r="AG294" s="48"/>
      <c r="AH294" s="50"/>
    </row>
    <row r="295" spans="1:38" ht="14.5">
      <c r="A295" s="40">
        <v>2015</v>
      </c>
      <c r="B295" s="41" t="s">
        <v>869</v>
      </c>
      <c r="C295" s="41" t="s">
        <v>870</v>
      </c>
      <c r="D295" s="41" t="s">
        <v>105</v>
      </c>
      <c r="E295" s="40">
        <v>12</v>
      </c>
      <c r="H295" s="43"/>
      <c r="I295" s="117"/>
      <c r="J295" s="43"/>
      <c r="K295" s="44"/>
      <c r="L295" s="45"/>
      <c r="M295" s="43"/>
      <c r="N295" s="46"/>
      <c r="O295" s="46"/>
      <c r="P295" s="45"/>
      <c r="Q295" s="45"/>
      <c r="R295" s="45"/>
      <c r="S295" s="43"/>
      <c r="T295" s="43"/>
      <c r="U295" s="43"/>
      <c r="V295" s="43"/>
      <c r="W295" s="43"/>
      <c r="X295" s="43"/>
      <c r="Y295" s="43"/>
      <c r="Z295" s="43"/>
      <c r="AA295" s="43"/>
      <c r="AB295" s="43"/>
      <c r="AC295" s="43"/>
      <c r="AD295" s="43"/>
      <c r="AE295" s="48"/>
      <c r="AF295" s="48"/>
      <c r="AG295" s="48"/>
      <c r="AH295" s="50"/>
    </row>
    <row r="296" spans="1:38" ht="14.5">
      <c r="A296" s="40">
        <v>2016</v>
      </c>
      <c r="B296" s="41" t="s">
        <v>869</v>
      </c>
      <c r="C296" s="41" t="s">
        <v>870</v>
      </c>
      <c r="D296" s="41" t="s">
        <v>105</v>
      </c>
      <c r="E296" s="40">
        <v>12</v>
      </c>
      <c r="H296" s="43"/>
      <c r="I296" s="117"/>
      <c r="J296" s="43"/>
      <c r="K296" s="44"/>
      <c r="L296" s="45"/>
      <c r="M296" s="43"/>
      <c r="N296" s="46"/>
      <c r="O296" s="46"/>
      <c r="P296" s="45"/>
      <c r="Q296" s="45"/>
      <c r="R296" s="45"/>
      <c r="S296" s="43"/>
      <c r="T296" s="43"/>
      <c r="U296" s="43"/>
      <c r="V296" s="43"/>
      <c r="W296" s="43"/>
      <c r="X296" s="43"/>
      <c r="Y296" s="43"/>
      <c r="Z296" s="43"/>
      <c r="AA296" s="43"/>
      <c r="AB296" s="43"/>
      <c r="AC296" s="43"/>
      <c r="AD296" s="43"/>
      <c r="AE296" s="48"/>
      <c r="AF296" s="48"/>
      <c r="AG296" s="48"/>
      <c r="AH296" s="50"/>
    </row>
    <row r="297" spans="1:38" ht="14.5">
      <c r="A297" s="40">
        <v>2017</v>
      </c>
      <c r="B297" s="41" t="s">
        <v>869</v>
      </c>
      <c r="C297" s="41" t="s">
        <v>870</v>
      </c>
      <c r="D297" s="41" t="s">
        <v>105</v>
      </c>
      <c r="E297" s="40">
        <v>12</v>
      </c>
      <c r="H297" s="43"/>
      <c r="I297" s="117"/>
      <c r="J297" s="43"/>
      <c r="K297" s="44"/>
      <c r="L297" s="45"/>
      <c r="M297" s="43"/>
      <c r="N297" s="46"/>
      <c r="O297" s="46"/>
      <c r="P297" s="45"/>
      <c r="Q297" s="45"/>
      <c r="R297" s="45"/>
      <c r="S297" s="43"/>
      <c r="T297" s="43"/>
      <c r="U297" s="43"/>
      <c r="V297" s="43"/>
      <c r="W297" s="43"/>
      <c r="X297" s="43"/>
      <c r="Y297" s="43"/>
      <c r="Z297" s="43"/>
      <c r="AA297" s="43"/>
      <c r="AB297" s="43"/>
      <c r="AC297" s="43"/>
      <c r="AD297" s="43"/>
      <c r="AE297" s="48"/>
      <c r="AF297" s="48"/>
      <c r="AG297" s="48"/>
      <c r="AH297" s="50"/>
    </row>
    <row r="298" spans="1:38" ht="14.5">
      <c r="A298" s="554">
        <v>2004</v>
      </c>
      <c r="B298" s="555" t="s">
        <v>875</v>
      </c>
      <c r="C298" s="555" t="s">
        <v>877</v>
      </c>
      <c r="D298" s="555" t="s">
        <v>105</v>
      </c>
      <c r="E298" s="554">
        <v>11</v>
      </c>
      <c r="F298" s="479"/>
      <c r="G298" s="479"/>
      <c r="H298" s="605"/>
      <c r="I298" s="606"/>
      <c r="J298" s="605"/>
      <c r="K298" s="607"/>
      <c r="L298" s="608"/>
      <c r="M298" s="605"/>
      <c r="N298" s="609"/>
      <c r="O298" s="609"/>
      <c r="P298" s="608"/>
      <c r="Q298" s="608"/>
      <c r="R298" s="608"/>
      <c r="S298" s="605"/>
      <c r="T298" s="605"/>
      <c r="U298" s="605"/>
      <c r="V298" s="605"/>
      <c r="W298" s="605"/>
      <c r="X298" s="605"/>
      <c r="Y298" s="605"/>
      <c r="Z298" s="605"/>
      <c r="AA298" s="605"/>
      <c r="AB298" s="605"/>
      <c r="AC298" s="605"/>
      <c r="AD298" s="605"/>
      <c r="AE298" s="611"/>
      <c r="AF298" s="611"/>
      <c r="AG298" s="611"/>
      <c r="AH298" s="612"/>
      <c r="AI298" s="479"/>
      <c r="AJ298" s="479"/>
      <c r="AK298" s="479"/>
      <c r="AL298" s="479"/>
    </row>
    <row r="299" spans="1:38" ht="14.5">
      <c r="A299" s="554">
        <v>2005</v>
      </c>
      <c r="B299" s="555" t="s">
        <v>875</v>
      </c>
      <c r="C299" s="555" t="s">
        <v>877</v>
      </c>
      <c r="D299" s="555" t="s">
        <v>105</v>
      </c>
      <c r="E299" s="554">
        <v>11</v>
      </c>
      <c r="F299" s="479"/>
      <c r="G299" s="479"/>
      <c r="H299" s="605"/>
      <c r="I299" s="606"/>
      <c r="J299" s="605"/>
      <c r="K299" s="607"/>
      <c r="L299" s="608"/>
      <c r="M299" s="605"/>
      <c r="N299" s="609"/>
      <c r="O299" s="609"/>
      <c r="P299" s="608"/>
      <c r="Q299" s="608"/>
      <c r="R299" s="608"/>
      <c r="S299" s="605"/>
      <c r="T299" s="605"/>
      <c r="U299" s="605"/>
      <c r="V299" s="605"/>
      <c r="W299" s="605"/>
      <c r="X299" s="605"/>
      <c r="Y299" s="605"/>
      <c r="Z299" s="605"/>
      <c r="AA299" s="605"/>
      <c r="AB299" s="605"/>
      <c r="AC299" s="605"/>
      <c r="AD299" s="605"/>
      <c r="AE299" s="611"/>
      <c r="AF299" s="611"/>
      <c r="AG299" s="611"/>
      <c r="AH299" s="612"/>
      <c r="AI299" s="479"/>
      <c r="AJ299" s="479"/>
      <c r="AK299" s="479"/>
      <c r="AL299" s="479"/>
    </row>
    <row r="300" spans="1:38" ht="14.5">
      <c r="A300" s="554">
        <v>2006</v>
      </c>
      <c r="B300" s="555" t="s">
        <v>875</v>
      </c>
      <c r="C300" s="555" t="s">
        <v>877</v>
      </c>
      <c r="D300" s="555" t="s">
        <v>105</v>
      </c>
      <c r="E300" s="554">
        <v>11</v>
      </c>
      <c r="F300" s="479"/>
      <c r="G300" s="479"/>
      <c r="H300" s="605"/>
      <c r="I300" s="606"/>
      <c r="J300" s="605"/>
      <c r="K300" s="607"/>
      <c r="L300" s="608"/>
      <c r="M300" s="605"/>
      <c r="N300" s="609"/>
      <c r="O300" s="609"/>
      <c r="P300" s="608"/>
      <c r="Q300" s="608"/>
      <c r="R300" s="608"/>
      <c r="S300" s="605"/>
      <c r="T300" s="605"/>
      <c r="U300" s="605"/>
      <c r="V300" s="605"/>
      <c r="W300" s="605"/>
      <c r="X300" s="605"/>
      <c r="Y300" s="605"/>
      <c r="Z300" s="605"/>
      <c r="AA300" s="605"/>
      <c r="AB300" s="605"/>
      <c r="AC300" s="605"/>
      <c r="AD300" s="605"/>
      <c r="AE300" s="611"/>
      <c r="AF300" s="611"/>
      <c r="AG300" s="611"/>
      <c r="AH300" s="612"/>
      <c r="AI300" s="479"/>
      <c r="AJ300" s="479"/>
      <c r="AK300" s="479"/>
      <c r="AL300" s="479"/>
    </row>
    <row r="301" spans="1:38" ht="14.5">
      <c r="A301" s="554">
        <v>2007</v>
      </c>
      <c r="B301" s="555" t="s">
        <v>875</v>
      </c>
      <c r="C301" s="555" t="s">
        <v>877</v>
      </c>
      <c r="D301" s="555" t="s">
        <v>105</v>
      </c>
      <c r="E301" s="554">
        <v>11</v>
      </c>
      <c r="F301" s="479"/>
      <c r="G301" s="479"/>
      <c r="H301" s="605"/>
      <c r="I301" s="606"/>
      <c r="J301" s="605"/>
      <c r="K301" s="607"/>
      <c r="L301" s="608"/>
      <c r="M301" s="605"/>
      <c r="N301" s="609"/>
      <c r="O301" s="609"/>
      <c r="P301" s="608"/>
      <c r="Q301" s="608"/>
      <c r="R301" s="608"/>
      <c r="S301" s="605"/>
      <c r="T301" s="605"/>
      <c r="U301" s="605"/>
      <c r="V301" s="605"/>
      <c r="W301" s="605"/>
      <c r="X301" s="605"/>
      <c r="Y301" s="605"/>
      <c r="Z301" s="605"/>
      <c r="AA301" s="605"/>
      <c r="AB301" s="605"/>
      <c r="AC301" s="605"/>
      <c r="AD301" s="605"/>
      <c r="AE301" s="611"/>
      <c r="AF301" s="611"/>
      <c r="AG301" s="611"/>
      <c r="AH301" s="612"/>
      <c r="AI301" s="479"/>
      <c r="AJ301" s="479"/>
      <c r="AK301" s="479"/>
      <c r="AL301" s="479"/>
    </row>
    <row r="302" spans="1:38" ht="14.5">
      <c r="A302" s="554">
        <v>2008</v>
      </c>
      <c r="B302" s="555" t="s">
        <v>875</v>
      </c>
      <c r="C302" s="555" t="s">
        <v>877</v>
      </c>
      <c r="D302" s="555" t="s">
        <v>105</v>
      </c>
      <c r="E302" s="554">
        <v>11</v>
      </c>
      <c r="F302" s="479"/>
      <c r="G302" s="479"/>
      <c r="H302" s="605"/>
      <c r="I302" s="606"/>
      <c r="J302" s="605"/>
      <c r="K302" s="607"/>
      <c r="L302" s="608"/>
      <c r="M302" s="605"/>
      <c r="N302" s="609"/>
      <c r="O302" s="609"/>
      <c r="P302" s="608"/>
      <c r="Q302" s="608"/>
      <c r="R302" s="608"/>
      <c r="S302" s="605"/>
      <c r="T302" s="605"/>
      <c r="U302" s="605"/>
      <c r="V302" s="605"/>
      <c r="W302" s="605"/>
      <c r="X302" s="605"/>
      <c r="Y302" s="605"/>
      <c r="Z302" s="605"/>
      <c r="AA302" s="605"/>
      <c r="AB302" s="605"/>
      <c r="AC302" s="605"/>
      <c r="AD302" s="605"/>
      <c r="AE302" s="611"/>
      <c r="AF302" s="611"/>
      <c r="AG302" s="611"/>
      <c r="AH302" s="612"/>
      <c r="AI302" s="479"/>
      <c r="AJ302" s="479"/>
      <c r="AK302" s="479"/>
      <c r="AL302" s="479"/>
    </row>
    <row r="303" spans="1:38" ht="14.5">
      <c r="A303" s="22">
        <v>2009</v>
      </c>
      <c r="B303" s="24" t="s">
        <v>875</v>
      </c>
      <c r="C303" s="24" t="s">
        <v>877</v>
      </c>
      <c r="D303" s="24" t="s">
        <v>105</v>
      </c>
      <c r="E303" s="22">
        <v>11</v>
      </c>
      <c r="F303" s="54" t="s">
        <v>106</v>
      </c>
      <c r="G303" s="686">
        <v>39994</v>
      </c>
      <c r="H303" s="57">
        <v>1460000</v>
      </c>
      <c r="I303" s="59"/>
      <c r="J303" s="57">
        <v>1731383</v>
      </c>
      <c r="K303" s="87">
        <f>J303/H303</f>
        <v>1.1858787671232878</v>
      </c>
      <c r="L303" s="88">
        <f>4271321.861/M303</f>
        <v>5.0250845423529403E-3</v>
      </c>
      <c r="M303" s="57">
        <v>850000000</v>
      </c>
      <c r="N303" s="64">
        <v>0</v>
      </c>
      <c r="O303" s="64">
        <v>0</v>
      </c>
      <c r="P303" s="62"/>
      <c r="Q303" s="62">
        <v>0</v>
      </c>
      <c r="R303" s="62">
        <v>0</v>
      </c>
      <c r="S303" s="84"/>
      <c r="T303" s="84"/>
      <c r="U303" s="84"/>
      <c r="V303" s="84"/>
      <c r="W303" s="84"/>
      <c r="X303" s="84"/>
      <c r="Y303" s="84"/>
      <c r="Z303" s="84"/>
      <c r="AA303" s="84"/>
      <c r="AB303" s="84"/>
      <c r="AC303" s="84"/>
      <c r="AD303" s="84"/>
      <c r="AE303" s="64">
        <v>0</v>
      </c>
      <c r="AF303" s="64">
        <v>0</v>
      </c>
      <c r="AG303" s="64">
        <v>0</v>
      </c>
      <c r="AH303" s="157">
        <v>0</v>
      </c>
      <c r="AI303" s="54">
        <v>0</v>
      </c>
      <c r="AJ303" s="34"/>
      <c r="AK303" s="78" t="s">
        <v>879</v>
      </c>
      <c r="AL303" s="34"/>
    </row>
    <row r="304" spans="1:38" ht="14.5">
      <c r="A304" s="554">
        <v>2010</v>
      </c>
      <c r="B304" s="555" t="s">
        <v>875</v>
      </c>
      <c r="C304" s="555" t="s">
        <v>877</v>
      </c>
      <c r="D304" s="555" t="s">
        <v>105</v>
      </c>
      <c r="E304" s="554">
        <v>11</v>
      </c>
      <c r="F304" s="479"/>
      <c r="G304" s="479"/>
      <c r="H304" s="696"/>
      <c r="I304" s="606"/>
      <c r="J304" s="696">
        <v>13690980</v>
      </c>
      <c r="K304" s="607"/>
      <c r="L304" s="608"/>
      <c r="M304" s="605"/>
      <c r="N304" s="609"/>
      <c r="O304" s="609"/>
      <c r="P304" s="608"/>
      <c r="Q304" s="608"/>
      <c r="R304" s="608"/>
      <c r="S304" s="605"/>
      <c r="T304" s="605"/>
      <c r="U304" s="605"/>
      <c r="V304" s="605"/>
      <c r="W304" s="605"/>
      <c r="X304" s="605"/>
      <c r="Y304" s="605"/>
      <c r="Z304" s="605"/>
      <c r="AA304" s="605"/>
      <c r="AB304" s="605"/>
      <c r="AC304" s="605"/>
      <c r="AD304" s="605"/>
      <c r="AE304" s="611"/>
      <c r="AF304" s="611"/>
      <c r="AG304" s="611"/>
      <c r="AH304" s="612"/>
      <c r="AI304" s="479"/>
      <c r="AJ304" s="479"/>
      <c r="AK304" s="479"/>
      <c r="AL304" s="479"/>
    </row>
    <row r="305" spans="1:38" ht="14.5">
      <c r="A305" s="554">
        <v>2011</v>
      </c>
      <c r="B305" s="555" t="s">
        <v>875</v>
      </c>
      <c r="C305" s="555" t="s">
        <v>877</v>
      </c>
      <c r="D305" s="555" t="s">
        <v>105</v>
      </c>
      <c r="E305" s="554">
        <v>11</v>
      </c>
      <c r="F305" s="479"/>
      <c r="G305" s="479"/>
      <c r="H305" s="696"/>
      <c r="I305" s="606"/>
      <c r="J305" s="696">
        <v>11831737</v>
      </c>
      <c r="K305" s="607"/>
      <c r="L305" s="608"/>
      <c r="M305" s="605"/>
      <c r="N305" s="609"/>
      <c r="O305" s="609"/>
      <c r="P305" s="608"/>
      <c r="Q305" s="608"/>
      <c r="R305" s="608"/>
      <c r="S305" s="605"/>
      <c r="T305" s="605"/>
      <c r="U305" s="605"/>
      <c r="V305" s="605"/>
      <c r="W305" s="605"/>
      <c r="X305" s="605"/>
      <c r="Y305" s="605"/>
      <c r="Z305" s="605"/>
      <c r="AA305" s="605"/>
      <c r="AB305" s="605"/>
      <c r="AC305" s="605"/>
      <c r="AD305" s="605"/>
      <c r="AE305" s="611"/>
      <c r="AF305" s="611"/>
      <c r="AG305" s="611"/>
      <c r="AH305" s="612"/>
      <c r="AI305" s="479"/>
      <c r="AJ305" s="479"/>
      <c r="AK305" s="479"/>
      <c r="AL305" s="479"/>
    </row>
    <row r="306" spans="1:38" ht="14.5">
      <c r="A306" s="554">
        <v>2012</v>
      </c>
      <c r="B306" s="555" t="s">
        <v>875</v>
      </c>
      <c r="C306" s="555" t="s">
        <v>877</v>
      </c>
      <c r="D306" s="555" t="s">
        <v>105</v>
      </c>
      <c r="E306" s="554">
        <v>11</v>
      </c>
      <c r="F306" s="479"/>
      <c r="G306" s="479"/>
      <c r="H306" s="696"/>
      <c r="I306" s="606"/>
      <c r="J306" s="696">
        <v>7960824</v>
      </c>
      <c r="K306" s="607"/>
      <c r="L306" s="608"/>
      <c r="M306" s="605"/>
      <c r="N306" s="609"/>
      <c r="O306" s="609"/>
      <c r="P306" s="608"/>
      <c r="Q306" s="608"/>
      <c r="R306" s="608"/>
      <c r="S306" s="605"/>
      <c r="T306" s="605"/>
      <c r="U306" s="605"/>
      <c r="V306" s="605"/>
      <c r="W306" s="605"/>
      <c r="X306" s="605"/>
      <c r="Y306" s="605"/>
      <c r="Z306" s="605"/>
      <c r="AA306" s="605"/>
      <c r="AB306" s="605"/>
      <c r="AC306" s="605"/>
      <c r="AD306" s="605"/>
      <c r="AE306" s="611"/>
      <c r="AF306" s="611"/>
      <c r="AG306" s="611"/>
      <c r="AH306" s="612"/>
      <c r="AI306" s="479"/>
      <c r="AJ306" s="479"/>
      <c r="AK306" s="479"/>
      <c r="AL306" s="479"/>
    </row>
    <row r="307" spans="1:38" ht="14.5">
      <c r="A307" s="554">
        <v>2013</v>
      </c>
      <c r="B307" s="555" t="s">
        <v>875</v>
      </c>
      <c r="C307" s="555" t="s">
        <v>877</v>
      </c>
      <c r="D307" s="555" t="s">
        <v>105</v>
      </c>
      <c r="E307" s="554">
        <v>11</v>
      </c>
      <c r="F307" s="479"/>
      <c r="G307" s="479"/>
      <c r="H307" s="696"/>
      <c r="I307" s="606"/>
      <c r="J307" s="696">
        <v>16208276</v>
      </c>
      <c r="K307" s="607"/>
      <c r="L307" s="608"/>
      <c r="M307" s="605"/>
      <c r="N307" s="609"/>
      <c r="O307" s="609"/>
      <c r="P307" s="608"/>
      <c r="Q307" s="608"/>
      <c r="R307" s="608"/>
      <c r="S307" s="605"/>
      <c r="T307" s="605"/>
      <c r="U307" s="605"/>
      <c r="V307" s="605"/>
      <c r="W307" s="605"/>
      <c r="X307" s="605"/>
      <c r="Y307" s="605"/>
      <c r="Z307" s="605"/>
      <c r="AA307" s="605"/>
      <c r="AB307" s="605"/>
      <c r="AC307" s="605"/>
      <c r="AD307" s="605"/>
      <c r="AE307" s="611"/>
      <c r="AF307" s="611"/>
      <c r="AG307" s="611"/>
      <c r="AH307" s="612"/>
      <c r="AI307" s="479"/>
      <c r="AJ307" s="479"/>
      <c r="AK307" s="479"/>
      <c r="AL307" s="479"/>
    </row>
    <row r="308" spans="1:38" ht="14.5">
      <c r="A308" s="554">
        <v>2014</v>
      </c>
      <c r="B308" s="555" t="s">
        <v>875</v>
      </c>
      <c r="C308" s="555" t="s">
        <v>877</v>
      </c>
      <c r="D308" s="555" t="s">
        <v>105</v>
      </c>
      <c r="E308" s="554">
        <v>11</v>
      </c>
      <c r="F308" s="479"/>
      <c r="G308" s="479"/>
      <c r="H308" s="696"/>
      <c r="I308" s="606"/>
      <c r="J308" s="696">
        <v>7171742</v>
      </c>
      <c r="K308" s="607"/>
      <c r="L308" s="608"/>
      <c r="M308" s="605"/>
      <c r="N308" s="609"/>
      <c r="O308" s="609"/>
      <c r="P308" s="608"/>
      <c r="Q308" s="608"/>
      <c r="R308" s="608"/>
      <c r="S308" s="605"/>
      <c r="T308" s="605"/>
      <c r="U308" s="605"/>
      <c r="V308" s="605"/>
      <c r="W308" s="605"/>
      <c r="X308" s="605"/>
      <c r="Y308" s="605"/>
      <c r="Z308" s="605"/>
      <c r="AA308" s="605"/>
      <c r="AB308" s="605"/>
      <c r="AC308" s="605"/>
      <c r="AD308" s="605"/>
      <c r="AE308" s="611"/>
      <c r="AF308" s="611"/>
      <c r="AG308" s="611"/>
      <c r="AH308" s="612"/>
      <c r="AI308" s="479"/>
      <c r="AJ308" s="479"/>
      <c r="AK308" s="479"/>
      <c r="AL308" s="479"/>
    </row>
    <row r="309" spans="1:38" ht="14.5">
      <c r="A309" s="554">
        <v>2015</v>
      </c>
      <c r="B309" s="555" t="s">
        <v>875</v>
      </c>
      <c r="C309" s="555" t="s">
        <v>877</v>
      </c>
      <c r="D309" s="555" t="s">
        <v>105</v>
      </c>
      <c r="E309" s="554">
        <v>11</v>
      </c>
      <c r="F309" s="479"/>
      <c r="G309" s="479"/>
      <c r="H309" s="696"/>
      <c r="I309" s="606"/>
      <c r="J309" s="696">
        <v>6462705</v>
      </c>
      <c r="K309" s="607"/>
      <c r="L309" s="608"/>
      <c r="M309" s="605"/>
      <c r="N309" s="609"/>
      <c r="O309" s="609"/>
      <c r="P309" s="608"/>
      <c r="Q309" s="608"/>
      <c r="R309" s="608"/>
      <c r="S309" s="605"/>
      <c r="T309" s="605"/>
      <c r="U309" s="605"/>
      <c r="V309" s="605"/>
      <c r="W309" s="605"/>
      <c r="X309" s="605"/>
      <c r="Y309" s="605"/>
      <c r="Z309" s="605"/>
      <c r="AA309" s="605"/>
      <c r="AB309" s="605"/>
      <c r="AC309" s="605"/>
      <c r="AD309" s="605"/>
      <c r="AE309" s="611"/>
      <c r="AF309" s="611"/>
      <c r="AG309" s="611"/>
      <c r="AH309" s="612"/>
      <c r="AI309" s="479"/>
      <c r="AJ309" s="479"/>
      <c r="AK309" s="479"/>
      <c r="AL309" s="479"/>
    </row>
    <row r="310" spans="1:38" ht="14.5">
      <c r="A310" s="554">
        <v>2016</v>
      </c>
      <c r="B310" s="555" t="s">
        <v>875</v>
      </c>
      <c r="C310" s="555" t="s">
        <v>877</v>
      </c>
      <c r="D310" s="555" t="s">
        <v>105</v>
      </c>
      <c r="E310" s="554">
        <v>11</v>
      </c>
      <c r="F310" s="479"/>
      <c r="G310" s="479"/>
      <c r="H310" s="696"/>
      <c r="I310" s="606"/>
      <c r="J310" s="696">
        <v>5362164</v>
      </c>
      <c r="K310" s="607"/>
      <c r="L310" s="608"/>
      <c r="M310" s="605"/>
      <c r="N310" s="609"/>
      <c r="O310" s="609"/>
      <c r="P310" s="608"/>
      <c r="Q310" s="608"/>
      <c r="R310" s="608"/>
      <c r="S310" s="605"/>
      <c r="T310" s="605"/>
      <c r="U310" s="605"/>
      <c r="V310" s="605"/>
      <c r="W310" s="605"/>
      <c r="X310" s="605"/>
      <c r="Y310" s="605"/>
      <c r="Z310" s="605"/>
      <c r="AA310" s="605"/>
      <c r="AB310" s="605"/>
      <c r="AC310" s="605"/>
      <c r="AD310" s="605"/>
      <c r="AE310" s="611"/>
      <c r="AF310" s="611"/>
      <c r="AG310" s="611"/>
      <c r="AH310" s="612"/>
      <c r="AI310" s="479"/>
      <c r="AJ310" s="479"/>
      <c r="AK310" s="479"/>
      <c r="AL310" s="479"/>
    </row>
    <row r="311" spans="1:38" ht="14.5">
      <c r="A311" s="554">
        <v>2017</v>
      </c>
      <c r="B311" s="555" t="s">
        <v>875</v>
      </c>
      <c r="C311" s="555" t="s">
        <v>877</v>
      </c>
      <c r="D311" s="555" t="s">
        <v>105</v>
      </c>
      <c r="E311" s="554">
        <v>11</v>
      </c>
      <c r="F311" s="479"/>
      <c r="G311" s="479"/>
      <c r="H311" s="696"/>
      <c r="I311" s="606"/>
      <c r="J311" s="696">
        <v>10781125</v>
      </c>
      <c r="K311" s="607"/>
      <c r="L311" s="608"/>
      <c r="M311" s="605"/>
      <c r="N311" s="609"/>
      <c r="O311" s="609"/>
      <c r="P311" s="608"/>
      <c r="Q311" s="608"/>
      <c r="R311" s="608"/>
      <c r="S311" s="605"/>
      <c r="T311" s="605"/>
      <c r="U311" s="605"/>
      <c r="V311" s="605"/>
      <c r="W311" s="605"/>
      <c r="X311" s="605"/>
      <c r="Y311" s="605"/>
      <c r="Z311" s="605"/>
      <c r="AA311" s="605"/>
      <c r="AB311" s="605"/>
      <c r="AC311" s="605"/>
      <c r="AD311" s="605"/>
      <c r="AE311" s="611"/>
      <c r="AF311" s="611"/>
      <c r="AG311" s="611"/>
      <c r="AH311" s="612"/>
      <c r="AI311" s="479"/>
      <c r="AJ311" s="479"/>
      <c r="AK311" s="479"/>
      <c r="AL311" s="479"/>
    </row>
    <row r="312" spans="1:38" ht="14.5">
      <c r="A312" s="40">
        <v>2003</v>
      </c>
      <c r="B312" s="41" t="s">
        <v>887</v>
      </c>
      <c r="C312" s="41" t="s">
        <v>888</v>
      </c>
      <c r="D312" s="41" t="s">
        <v>363</v>
      </c>
      <c r="E312" s="40">
        <v>11</v>
      </c>
      <c r="H312" s="43"/>
      <c r="I312" s="117"/>
      <c r="J312" s="43"/>
      <c r="K312" s="44"/>
      <c r="L312" s="45"/>
      <c r="M312" s="43"/>
      <c r="N312" s="46"/>
      <c r="O312" s="46"/>
      <c r="P312" s="45"/>
      <c r="Q312" s="45"/>
      <c r="R312" s="45"/>
      <c r="S312" s="43"/>
      <c r="T312" s="43"/>
      <c r="U312" s="43"/>
      <c r="V312" s="43"/>
      <c r="W312" s="43"/>
      <c r="X312" s="43"/>
      <c r="Y312" s="43"/>
      <c r="Z312" s="43"/>
      <c r="AA312" s="43"/>
      <c r="AB312" s="43"/>
      <c r="AC312" s="43"/>
      <c r="AD312" s="43"/>
      <c r="AE312" s="48"/>
      <c r="AF312" s="48"/>
      <c r="AG312" s="48"/>
      <c r="AH312" s="50"/>
    </row>
    <row r="313" spans="1:38" ht="14.5">
      <c r="A313" s="40">
        <v>2004</v>
      </c>
      <c r="B313" s="41" t="s">
        <v>887</v>
      </c>
      <c r="C313" s="41" t="s">
        <v>888</v>
      </c>
      <c r="D313" s="41" t="s">
        <v>363</v>
      </c>
      <c r="E313" s="40">
        <v>11</v>
      </c>
      <c r="H313" s="43"/>
      <c r="I313" s="117"/>
      <c r="J313" s="43"/>
      <c r="K313" s="44"/>
      <c r="L313" s="45"/>
      <c r="M313" s="43"/>
      <c r="N313" s="46"/>
      <c r="O313" s="46"/>
      <c r="P313" s="45"/>
      <c r="Q313" s="45"/>
      <c r="R313" s="45"/>
      <c r="S313" s="43"/>
      <c r="T313" s="43"/>
      <c r="U313" s="43"/>
      <c r="V313" s="43"/>
      <c r="W313" s="43"/>
      <c r="X313" s="43"/>
      <c r="Y313" s="43"/>
      <c r="Z313" s="43"/>
      <c r="AA313" s="43"/>
      <c r="AB313" s="43"/>
      <c r="AC313" s="43"/>
      <c r="AD313" s="43"/>
      <c r="AE313" s="48"/>
      <c r="AF313" s="48"/>
      <c r="AG313" s="48"/>
      <c r="AH313" s="50"/>
    </row>
    <row r="314" spans="1:38" ht="14.5">
      <c r="A314" s="40">
        <v>2005</v>
      </c>
      <c r="B314" s="41" t="s">
        <v>887</v>
      </c>
      <c r="C314" s="41" t="s">
        <v>888</v>
      </c>
      <c r="D314" s="41" t="s">
        <v>363</v>
      </c>
      <c r="E314" s="40">
        <v>11</v>
      </c>
      <c r="H314" s="43"/>
      <c r="I314" s="117"/>
      <c r="J314" s="43"/>
      <c r="K314" s="44"/>
      <c r="L314" s="45"/>
      <c r="M314" s="43"/>
      <c r="N314" s="46"/>
      <c r="O314" s="46"/>
      <c r="P314" s="45"/>
      <c r="Q314" s="45"/>
      <c r="R314" s="45"/>
      <c r="S314" s="43"/>
      <c r="T314" s="43"/>
      <c r="U314" s="43"/>
      <c r="V314" s="43"/>
      <c r="W314" s="43"/>
      <c r="X314" s="43"/>
      <c r="Y314" s="43"/>
      <c r="Z314" s="43"/>
      <c r="AA314" s="43"/>
      <c r="AB314" s="43"/>
      <c r="AC314" s="43"/>
      <c r="AD314" s="43"/>
      <c r="AE314" s="48"/>
      <c r="AF314" s="48"/>
      <c r="AG314" s="48"/>
      <c r="AH314" s="50"/>
    </row>
    <row r="315" spans="1:38" ht="14.5">
      <c r="A315" s="40">
        <v>2006</v>
      </c>
      <c r="B315" s="41" t="s">
        <v>887</v>
      </c>
      <c r="C315" s="41" t="s">
        <v>888</v>
      </c>
      <c r="D315" s="41" t="s">
        <v>363</v>
      </c>
      <c r="E315" s="40">
        <v>11</v>
      </c>
      <c r="H315" s="43"/>
      <c r="I315" s="117"/>
      <c r="J315" s="43"/>
      <c r="K315" s="44"/>
      <c r="L315" s="45"/>
      <c r="M315" s="43"/>
      <c r="N315" s="46"/>
      <c r="O315" s="46"/>
      <c r="P315" s="45"/>
      <c r="Q315" s="45"/>
      <c r="R315" s="45"/>
      <c r="S315" s="43"/>
      <c r="T315" s="43"/>
      <c r="U315" s="43"/>
      <c r="V315" s="43"/>
      <c r="W315" s="43"/>
      <c r="X315" s="43"/>
      <c r="Y315" s="43"/>
      <c r="Z315" s="43"/>
      <c r="AA315" s="43"/>
      <c r="AB315" s="43"/>
      <c r="AC315" s="43"/>
      <c r="AD315" s="43"/>
      <c r="AE315" s="48"/>
      <c r="AF315" s="48"/>
      <c r="AG315" s="48"/>
      <c r="AH315" s="50"/>
    </row>
    <row r="316" spans="1:38" ht="14.5">
      <c r="A316" s="40">
        <v>2007</v>
      </c>
      <c r="B316" s="41" t="s">
        <v>887</v>
      </c>
      <c r="C316" s="41" t="s">
        <v>888</v>
      </c>
      <c r="D316" s="41" t="s">
        <v>363</v>
      </c>
      <c r="E316" s="40">
        <v>11</v>
      </c>
      <c r="H316" s="43"/>
      <c r="I316" s="117"/>
      <c r="J316" s="43"/>
      <c r="K316" s="44"/>
      <c r="L316" s="45"/>
      <c r="M316" s="43"/>
      <c r="N316" s="46"/>
      <c r="O316" s="46"/>
      <c r="P316" s="45"/>
      <c r="Q316" s="45"/>
      <c r="R316" s="45"/>
      <c r="S316" s="43"/>
      <c r="T316" s="43"/>
      <c r="U316" s="43"/>
      <c r="V316" s="43"/>
      <c r="W316" s="43"/>
      <c r="X316" s="43"/>
      <c r="Y316" s="43"/>
      <c r="Z316" s="43"/>
      <c r="AA316" s="43"/>
      <c r="AB316" s="43"/>
      <c r="AC316" s="43"/>
      <c r="AD316" s="43"/>
      <c r="AE316" s="48"/>
      <c r="AF316" s="48"/>
      <c r="AG316" s="48"/>
      <c r="AH316" s="50"/>
    </row>
    <row r="317" spans="1:38" ht="14.5">
      <c r="A317" s="40">
        <v>2008</v>
      </c>
      <c r="B317" s="41" t="s">
        <v>887</v>
      </c>
      <c r="C317" s="41" t="s">
        <v>888</v>
      </c>
      <c r="D317" s="41" t="s">
        <v>363</v>
      </c>
      <c r="E317" s="40">
        <v>11</v>
      </c>
      <c r="H317" s="43"/>
      <c r="I317" s="117" t="e">
        <f t="shared" ref="I317:I331" si="40">(H317/H316)-1</f>
        <v>#DIV/0!</v>
      </c>
      <c r="J317" s="43"/>
      <c r="K317" s="44"/>
      <c r="L317" s="45"/>
      <c r="M317" s="43"/>
      <c r="N317" s="46"/>
      <c r="O317" s="46"/>
      <c r="P317" s="45"/>
      <c r="Q317" s="45"/>
      <c r="R317" s="45"/>
      <c r="S317" s="43"/>
      <c r="T317" s="43"/>
      <c r="U317" s="43"/>
      <c r="V317" s="43"/>
      <c r="W317" s="43"/>
      <c r="X317" s="43"/>
      <c r="Y317" s="43"/>
      <c r="Z317" s="43"/>
      <c r="AA317" s="43"/>
      <c r="AB317" s="43"/>
      <c r="AC317" s="43"/>
      <c r="AD317" s="43"/>
      <c r="AE317" s="48"/>
      <c r="AF317" s="48"/>
      <c r="AG317" s="48"/>
      <c r="AH317" s="50"/>
    </row>
    <row r="318" spans="1:38" ht="14.5">
      <c r="A318" s="40">
        <v>2009</v>
      </c>
      <c r="B318" s="41" t="s">
        <v>887</v>
      </c>
      <c r="C318" s="41" t="s">
        <v>888</v>
      </c>
      <c r="D318" s="41" t="s">
        <v>363</v>
      </c>
      <c r="E318" s="40">
        <v>11</v>
      </c>
      <c r="H318" s="43"/>
      <c r="I318" s="117" t="e">
        <f t="shared" si="40"/>
        <v>#DIV/0!</v>
      </c>
      <c r="J318" s="43"/>
      <c r="K318" s="44"/>
      <c r="L318" s="45"/>
      <c r="M318" s="43"/>
      <c r="N318" s="46"/>
      <c r="O318" s="46"/>
      <c r="P318" s="45"/>
      <c r="Q318" s="45"/>
      <c r="R318" s="45"/>
      <c r="S318" s="43"/>
      <c r="T318" s="43"/>
      <c r="U318" s="43"/>
      <c r="V318" s="43"/>
      <c r="W318" s="43"/>
      <c r="X318" s="43"/>
      <c r="Y318" s="43"/>
      <c r="Z318" s="43"/>
      <c r="AA318" s="43"/>
      <c r="AB318" s="43"/>
      <c r="AC318" s="43"/>
      <c r="AD318" s="43"/>
      <c r="AE318" s="48"/>
      <c r="AF318" s="48"/>
      <c r="AG318" s="48"/>
      <c r="AH318" s="50"/>
    </row>
    <row r="319" spans="1:38" ht="14.5">
      <c r="A319" s="40">
        <v>2010</v>
      </c>
      <c r="B319" s="41" t="s">
        <v>887</v>
      </c>
      <c r="C319" s="41" t="s">
        <v>888</v>
      </c>
      <c r="D319" s="41" t="s">
        <v>363</v>
      </c>
      <c r="E319" s="40">
        <v>11</v>
      </c>
      <c r="H319" s="43"/>
      <c r="I319" s="117" t="e">
        <f t="shared" si="40"/>
        <v>#DIV/0!</v>
      </c>
      <c r="J319" s="43"/>
      <c r="K319" s="44"/>
      <c r="L319" s="45"/>
      <c r="M319" s="43"/>
      <c r="N319" s="46"/>
      <c r="O319" s="46"/>
      <c r="P319" s="45"/>
      <c r="Q319" s="45"/>
      <c r="R319" s="45"/>
      <c r="S319" s="43"/>
      <c r="T319" s="43"/>
      <c r="U319" s="43"/>
      <c r="V319" s="43"/>
      <c r="W319" s="43"/>
      <c r="X319" s="43"/>
      <c r="Y319" s="43"/>
      <c r="Z319" s="43"/>
      <c r="AA319" s="43"/>
      <c r="AB319" s="43"/>
      <c r="AC319" s="43"/>
      <c r="AD319" s="43"/>
      <c r="AE319" s="48"/>
      <c r="AF319" s="48"/>
      <c r="AG319" s="48"/>
      <c r="AH319" s="50"/>
    </row>
    <row r="320" spans="1:38" ht="14.5">
      <c r="A320" s="40">
        <v>2011</v>
      </c>
      <c r="B320" s="41" t="s">
        <v>887</v>
      </c>
      <c r="C320" s="41" t="s">
        <v>888</v>
      </c>
      <c r="D320" s="41" t="s">
        <v>363</v>
      </c>
      <c r="E320" s="40">
        <v>11</v>
      </c>
      <c r="H320" s="43"/>
      <c r="I320" s="117" t="e">
        <f t="shared" si="40"/>
        <v>#DIV/0!</v>
      </c>
      <c r="J320" s="43"/>
      <c r="K320" s="44"/>
      <c r="L320" s="45"/>
      <c r="M320" s="43"/>
      <c r="N320" s="46"/>
      <c r="O320" s="46"/>
      <c r="P320" s="45"/>
      <c r="Q320" s="45"/>
      <c r="R320" s="45"/>
      <c r="S320" s="43"/>
      <c r="T320" s="43"/>
      <c r="U320" s="43"/>
      <c r="V320" s="43"/>
      <c r="W320" s="43"/>
      <c r="X320" s="43"/>
      <c r="Y320" s="43"/>
      <c r="Z320" s="43"/>
      <c r="AA320" s="43"/>
      <c r="AB320" s="43"/>
      <c r="AC320" s="43"/>
      <c r="AD320" s="43"/>
      <c r="AE320" s="48"/>
      <c r="AF320" s="48"/>
      <c r="AG320" s="48"/>
      <c r="AH320" s="50"/>
    </row>
    <row r="321" spans="1:38" ht="14.5">
      <c r="A321" s="40">
        <v>2012</v>
      </c>
      <c r="B321" s="41" t="s">
        <v>887</v>
      </c>
      <c r="C321" s="41" t="s">
        <v>888</v>
      </c>
      <c r="D321" s="41" t="s">
        <v>363</v>
      </c>
      <c r="E321" s="40">
        <v>11</v>
      </c>
      <c r="H321" s="43"/>
      <c r="I321" s="117" t="e">
        <f t="shared" si="40"/>
        <v>#DIV/0!</v>
      </c>
      <c r="J321" s="43"/>
      <c r="K321" s="44"/>
      <c r="L321" s="45"/>
      <c r="M321" s="43"/>
      <c r="N321" s="46"/>
      <c r="O321" s="46"/>
      <c r="P321" s="45"/>
      <c r="Q321" s="45"/>
      <c r="R321" s="45"/>
      <c r="S321" s="43"/>
      <c r="T321" s="43"/>
      <c r="U321" s="43"/>
      <c r="V321" s="43"/>
      <c r="W321" s="43"/>
      <c r="X321" s="43"/>
      <c r="Y321" s="43"/>
      <c r="Z321" s="43"/>
      <c r="AA321" s="43"/>
      <c r="AB321" s="43"/>
      <c r="AC321" s="43"/>
      <c r="AD321" s="43"/>
      <c r="AE321" s="48"/>
      <c r="AF321" s="48"/>
      <c r="AG321" s="48"/>
      <c r="AH321" s="50"/>
    </row>
    <row r="322" spans="1:38" ht="14.5">
      <c r="A322" s="40">
        <v>2013</v>
      </c>
      <c r="B322" s="41" t="s">
        <v>887</v>
      </c>
      <c r="C322" s="41" t="s">
        <v>888</v>
      </c>
      <c r="D322" s="41" t="s">
        <v>363</v>
      </c>
      <c r="E322" s="40">
        <v>11</v>
      </c>
      <c r="H322" s="43"/>
      <c r="I322" s="117" t="e">
        <f t="shared" si="40"/>
        <v>#DIV/0!</v>
      </c>
      <c r="J322" s="43"/>
      <c r="K322" s="44"/>
      <c r="L322" s="45"/>
      <c r="M322" s="43"/>
      <c r="N322" s="46"/>
      <c r="O322" s="46"/>
      <c r="P322" s="45"/>
      <c r="Q322" s="45"/>
      <c r="R322" s="45"/>
      <c r="S322" s="43"/>
      <c r="T322" s="43"/>
      <c r="U322" s="43"/>
      <c r="V322" s="43"/>
      <c r="W322" s="43"/>
      <c r="X322" s="43"/>
      <c r="Y322" s="43"/>
      <c r="Z322" s="43"/>
      <c r="AA322" s="43"/>
      <c r="AB322" s="43"/>
      <c r="AC322" s="43"/>
      <c r="AD322" s="43"/>
      <c r="AE322" s="48"/>
      <c r="AF322" s="48"/>
      <c r="AG322" s="48"/>
      <c r="AH322" s="50"/>
    </row>
    <row r="323" spans="1:38" ht="14.5">
      <c r="A323" s="40">
        <v>2014</v>
      </c>
      <c r="B323" s="41" t="s">
        <v>887</v>
      </c>
      <c r="C323" s="41" t="s">
        <v>888</v>
      </c>
      <c r="D323" s="41" t="s">
        <v>363</v>
      </c>
      <c r="E323" s="40">
        <v>11</v>
      </c>
      <c r="H323" s="43"/>
      <c r="I323" s="117" t="e">
        <f t="shared" si="40"/>
        <v>#DIV/0!</v>
      </c>
      <c r="J323" s="43"/>
      <c r="K323" s="44"/>
      <c r="L323" s="45"/>
      <c r="M323" s="43"/>
      <c r="N323" s="46"/>
      <c r="O323" s="46"/>
      <c r="P323" s="45"/>
      <c r="Q323" s="45"/>
      <c r="R323" s="45"/>
      <c r="S323" s="43"/>
      <c r="T323" s="43"/>
      <c r="U323" s="43"/>
      <c r="V323" s="43"/>
      <c r="W323" s="43"/>
      <c r="X323" s="43"/>
      <c r="Y323" s="43"/>
      <c r="Z323" s="43"/>
      <c r="AA323" s="43"/>
      <c r="AB323" s="43"/>
      <c r="AC323" s="43"/>
      <c r="AD323" s="43"/>
      <c r="AE323" s="48"/>
      <c r="AF323" s="48"/>
      <c r="AG323" s="48"/>
      <c r="AH323" s="50"/>
    </row>
    <row r="324" spans="1:38" ht="14.5">
      <c r="A324" s="40">
        <v>2015</v>
      </c>
      <c r="B324" s="41" t="s">
        <v>887</v>
      </c>
      <c r="C324" s="41" t="s">
        <v>888</v>
      </c>
      <c r="D324" s="41" t="s">
        <v>363</v>
      </c>
      <c r="E324" s="40">
        <v>11</v>
      </c>
      <c r="H324" s="43"/>
      <c r="I324" s="117" t="e">
        <f t="shared" si="40"/>
        <v>#DIV/0!</v>
      </c>
      <c r="J324" s="43"/>
      <c r="K324" s="44"/>
      <c r="L324" s="45"/>
      <c r="M324" s="43"/>
      <c r="N324" s="46"/>
      <c r="O324" s="46"/>
      <c r="P324" s="45"/>
      <c r="Q324" s="45"/>
      <c r="R324" s="45"/>
      <c r="S324" s="43"/>
      <c r="T324" s="43"/>
      <c r="U324" s="43"/>
      <c r="V324" s="43"/>
      <c r="W324" s="43"/>
      <c r="X324" s="43"/>
      <c r="Y324" s="43"/>
      <c r="Z324" s="43"/>
      <c r="AA324" s="43"/>
      <c r="AB324" s="43"/>
      <c r="AC324" s="43"/>
      <c r="AD324" s="43"/>
      <c r="AE324" s="48"/>
      <c r="AF324" s="48"/>
      <c r="AG324" s="48"/>
      <c r="AH324" s="50"/>
    </row>
    <row r="325" spans="1:38" ht="14.5">
      <c r="A325" s="40">
        <v>2016</v>
      </c>
      <c r="B325" s="41" t="s">
        <v>887</v>
      </c>
      <c r="C325" s="41" t="s">
        <v>888</v>
      </c>
      <c r="D325" s="41" t="s">
        <v>363</v>
      </c>
      <c r="E325" s="40">
        <v>11</v>
      </c>
      <c r="H325" s="43"/>
      <c r="I325" s="117" t="e">
        <f t="shared" si="40"/>
        <v>#DIV/0!</v>
      </c>
      <c r="J325" s="43"/>
      <c r="K325" s="44"/>
      <c r="L325" s="45"/>
      <c r="M325" s="43"/>
      <c r="N325" s="46"/>
      <c r="O325" s="46"/>
      <c r="P325" s="45"/>
      <c r="Q325" s="45"/>
      <c r="R325" s="45"/>
      <c r="S325" s="43"/>
      <c r="T325" s="43"/>
      <c r="U325" s="43"/>
      <c r="V325" s="43"/>
      <c r="W325" s="43"/>
      <c r="X325" s="43"/>
      <c r="Y325" s="43"/>
      <c r="Z325" s="43"/>
      <c r="AA325" s="43"/>
      <c r="AB325" s="43"/>
      <c r="AC325" s="43"/>
      <c r="AD325" s="43"/>
      <c r="AE325" s="48"/>
      <c r="AF325" s="48"/>
      <c r="AG325" s="48"/>
      <c r="AH325" s="50"/>
    </row>
    <row r="326" spans="1:38" ht="14.5">
      <c r="A326" s="40">
        <v>2017</v>
      </c>
      <c r="B326" s="41" t="s">
        <v>887</v>
      </c>
      <c r="C326" s="41" t="s">
        <v>888</v>
      </c>
      <c r="D326" s="41" t="s">
        <v>363</v>
      </c>
      <c r="E326" s="40">
        <v>11</v>
      </c>
      <c r="H326" s="43"/>
      <c r="I326" s="117" t="e">
        <f t="shared" si="40"/>
        <v>#DIV/0!</v>
      </c>
      <c r="J326" s="43"/>
      <c r="K326" s="44"/>
      <c r="L326" s="45"/>
      <c r="M326" s="43"/>
      <c r="N326" s="46"/>
      <c r="O326" s="46"/>
      <c r="P326" s="45"/>
      <c r="Q326" s="45"/>
      <c r="R326" s="45"/>
      <c r="S326" s="43"/>
      <c r="T326" s="43"/>
      <c r="U326" s="43"/>
      <c r="V326" s="43"/>
      <c r="W326" s="43"/>
      <c r="X326" s="43"/>
      <c r="Y326" s="43"/>
      <c r="Z326" s="43"/>
      <c r="AA326" s="43"/>
      <c r="AB326" s="43"/>
      <c r="AC326" s="43"/>
      <c r="AD326" s="43"/>
      <c r="AE326" s="48"/>
      <c r="AF326" s="48"/>
      <c r="AG326" s="48"/>
      <c r="AH326" s="50"/>
    </row>
    <row r="327" spans="1:38" ht="14.5">
      <c r="A327" s="40">
        <v>2004</v>
      </c>
      <c r="B327" s="41" t="s">
        <v>368</v>
      </c>
      <c r="C327" s="41" t="s">
        <v>897</v>
      </c>
      <c r="D327" s="41" t="s">
        <v>363</v>
      </c>
      <c r="E327" s="40">
        <v>12</v>
      </c>
      <c r="H327" s="43"/>
      <c r="I327" s="117" t="e">
        <f t="shared" si="40"/>
        <v>#DIV/0!</v>
      </c>
      <c r="J327" s="43"/>
      <c r="K327" s="44"/>
      <c r="L327" s="45"/>
      <c r="M327" s="43"/>
      <c r="N327" s="46"/>
      <c r="O327" s="46"/>
      <c r="P327" s="45"/>
      <c r="Q327" s="45"/>
      <c r="R327" s="45"/>
      <c r="S327" s="43"/>
      <c r="T327" s="43"/>
      <c r="U327" s="43"/>
      <c r="V327" s="43"/>
      <c r="W327" s="43"/>
      <c r="X327" s="43"/>
      <c r="Y327" s="43"/>
      <c r="Z327" s="43"/>
      <c r="AA327" s="43"/>
      <c r="AB327" s="43"/>
      <c r="AC327" s="43"/>
      <c r="AD327" s="43"/>
      <c r="AE327" s="48"/>
      <c r="AF327" s="48"/>
      <c r="AG327" s="48"/>
      <c r="AH327" s="50"/>
    </row>
    <row r="328" spans="1:38" ht="14.5">
      <c r="A328" s="40">
        <v>2005</v>
      </c>
      <c r="B328" s="41" t="s">
        <v>368</v>
      </c>
      <c r="C328" s="41" t="s">
        <v>897</v>
      </c>
      <c r="D328" s="41" t="s">
        <v>363</v>
      </c>
      <c r="E328" s="40">
        <v>12</v>
      </c>
      <c r="H328" s="43"/>
      <c r="I328" s="117" t="e">
        <f t="shared" si="40"/>
        <v>#DIV/0!</v>
      </c>
      <c r="J328" s="43"/>
      <c r="K328" s="44"/>
      <c r="L328" s="45"/>
      <c r="M328" s="43"/>
      <c r="N328" s="46"/>
      <c r="O328" s="46"/>
      <c r="P328" s="45"/>
      <c r="Q328" s="45"/>
      <c r="R328" s="45"/>
      <c r="S328" s="43"/>
      <c r="T328" s="43"/>
      <c r="U328" s="43"/>
      <c r="V328" s="43"/>
      <c r="W328" s="43"/>
      <c r="X328" s="43"/>
      <c r="Y328" s="43"/>
      <c r="Z328" s="43"/>
      <c r="AA328" s="43"/>
      <c r="AB328" s="43"/>
      <c r="AC328" s="43"/>
      <c r="AD328" s="43"/>
      <c r="AE328" s="48"/>
      <c r="AF328" s="48"/>
      <c r="AG328" s="48"/>
      <c r="AH328" s="50"/>
    </row>
    <row r="329" spans="1:38" ht="14.5">
      <c r="A329" s="40">
        <v>2006</v>
      </c>
      <c r="B329" s="41" t="s">
        <v>368</v>
      </c>
      <c r="C329" s="41" t="s">
        <v>897</v>
      </c>
      <c r="D329" s="41" t="s">
        <v>363</v>
      </c>
      <c r="E329" s="40">
        <v>12</v>
      </c>
      <c r="H329" s="43"/>
      <c r="I329" s="117" t="e">
        <f t="shared" si="40"/>
        <v>#DIV/0!</v>
      </c>
      <c r="J329" s="43"/>
      <c r="K329" s="44"/>
      <c r="L329" s="45"/>
      <c r="M329" s="43"/>
      <c r="N329" s="46"/>
      <c r="O329" s="46"/>
      <c r="P329" s="45"/>
      <c r="Q329" s="45"/>
      <c r="R329" s="45"/>
      <c r="S329" s="43"/>
      <c r="T329" s="43"/>
      <c r="U329" s="43"/>
      <c r="V329" s="43"/>
      <c r="W329" s="43"/>
      <c r="X329" s="43"/>
      <c r="Y329" s="43"/>
      <c r="Z329" s="43"/>
      <c r="AA329" s="43"/>
      <c r="AB329" s="43"/>
      <c r="AC329" s="43"/>
      <c r="AD329" s="43"/>
      <c r="AE329" s="48"/>
      <c r="AF329" s="48"/>
      <c r="AG329" s="48"/>
      <c r="AH329" s="50"/>
    </row>
    <row r="330" spans="1:38" ht="14.5">
      <c r="A330" s="40">
        <v>2007</v>
      </c>
      <c r="B330" s="41" t="s">
        <v>368</v>
      </c>
      <c r="C330" s="41" t="s">
        <v>897</v>
      </c>
      <c r="D330" s="41" t="s">
        <v>363</v>
      </c>
      <c r="E330" s="40">
        <v>12</v>
      </c>
      <c r="H330" s="43"/>
      <c r="I330" s="117" t="e">
        <f t="shared" si="40"/>
        <v>#DIV/0!</v>
      </c>
      <c r="J330" s="43"/>
      <c r="K330" s="44"/>
      <c r="L330" s="45"/>
      <c r="M330" s="43"/>
      <c r="N330" s="46"/>
      <c r="O330" s="46"/>
      <c r="P330" s="45"/>
      <c r="Q330" s="45"/>
      <c r="R330" s="45"/>
      <c r="S330" s="43"/>
      <c r="T330" s="43"/>
      <c r="U330" s="43"/>
      <c r="V330" s="43"/>
      <c r="W330" s="43"/>
      <c r="X330" s="43"/>
      <c r="Y330" s="43"/>
      <c r="Z330" s="43"/>
      <c r="AA330" s="43"/>
      <c r="AB330" s="43"/>
      <c r="AC330" s="43"/>
      <c r="AD330" s="43"/>
      <c r="AE330" s="48"/>
      <c r="AF330" s="48"/>
      <c r="AG330" s="48"/>
      <c r="AH330" s="50"/>
    </row>
    <row r="331" spans="1:38" ht="14.5">
      <c r="A331" s="40">
        <v>2008</v>
      </c>
      <c r="B331" s="41" t="s">
        <v>368</v>
      </c>
      <c r="C331" s="41" t="s">
        <v>897</v>
      </c>
      <c r="D331" s="41" t="s">
        <v>105</v>
      </c>
      <c r="E331" s="40">
        <v>12</v>
      </c>
      <c r="H331" s="43"/>
      <c r="I331" s="117" t="e">
        <f t="shared" si="40"/>
        <v>#DIV/0!</v>
      </c>
      <c r="J331" s="43"/>
      <c r="K331" s="44"/>
      <c r="L331" s="45"/>
      <c r="M331" s="43"/>
      <c r="N331" s="46"/>
      <c r="O331" s="46"/>
      <c r="P331" s="45"/>
      <c r="Q331" s="45"/>
      <c r="R331" s="45"/>
      <c r="S331" s="43"/>
      <c r="T331" s="43"/>
      <c r="U331" s="43"/>
      <c r="V331" s="43"/>
      <c r="W331" s="43"/>
      <c r="X331" s="43"/>
      <c r="Y331" s="43"/>
      <c r="Z331" s="43"/>
      <c r="AA331" s="43"/>
      <c r="AB331" s="43"/>
      <c r="AC331" s="43"/>
      <c r="AD331" s="43"/>
      <c r="AE331" s="48"/>
      <c r="AF331" s="48"/>
      <c r="AG331" s="48"/>
      <c r="AH331" s="50"/>
    </row>
    <row r="332" spans="1:38" ht="14.5">
      <c r="A332" s="22">
        <v>2009</v>
      </c>
      <c r="B332" s="24" t="s">
        <v>368</v>
      </c>
      <c r="C332" s="24" t="s">
        <v>897</v>
      </c>
      <c r="D332" s="24" t="s">
        <v>105</v>
      </c>
      <c r="E332" s="22">
        <v>12</v>
      </c>
      <c r="F332" s="54" t="s">
        <v>142</v>
      </c>
      <c r="G332" s="711">
        <v>40178</v>
      </c>
      <c r="H332" s="57">
        <v>301773</v>
      </c>
      <c r="I332" s="59"/>
      <c r="J332" s="185">
        <v>8771568.8265000004</v>
      </c>
      <c r="K332" s="87">
        <f t="shared" ref="K332:K340" si="41">J332/H332</f>
        <v>29.066778096449983</v>
      </c>
      <c r="L332" s="34">
        <f>21632815.0469934/M332</f>
        <v>0.12257177446438289</v>
      </c>
      <c r="M332" s="57">
        <v>176491000</v>
      </c>
      <c r="N332" s="54">
        <v>3000000</v>
      </c>
      <c r="O332" s="54">
        <v>3000000</v>
      </c>
      <c r="P332" s="57"/>
      <c r="Q332" s="88">
        <v>0.34201407517166449</v>
      </c>
      <c r="R332" s="57">
        <v>0</v>
      </c>
      <c r="S332" s="57">
        <v>5804000</v>
      </c>
      <c r="T332" s="57">
        <v>150000</v>
      </c>
      <c r="U332" s="57">
        <v>15509471</v>
      </c>
      <c r="V332" s="84">
        <f t="shared" ref="V332:V340" si="42">U332+T332</f>
        <v>15659471</v>
      </c>
      <c r="W332" s="84"/>
      <c r="X332" s="84"/>
      <c r="Y332" s="57">
        <v>388.815</v>
      </c>
      <c r="Z332" s="74">
        <f t="shared" ref="Z332:Z335" si="43">T332/(Y332*1000000)</f>
        <v>3.8578758535550328E-4</v>
      </c>
      <c r="AA332" s="74">
        <f t="shared" ref="AA332:AA340" si="44">S332/(Y332*1000000)</f>
        <v>1.4927407636022273E-2</v>
      </c>
      <c r="AB332" s="332">
        <v>534</v>
      </c>
      <c r="AC332" s="84"/>
      <c r="AD332" s="84">
        <v>345000</v>
      </c>
      <c r="AE332" s="57">
        <v>330000</v>
      </c>
      <c r="AF332" s="57">
        <v>330000</v>
      </c>
      <c r="AG332" s="713">
        <v>0.95652173913043481</v>
      </c>
      <c r="AH332" s="76">
        <v>0.17502974291185372</v>
      </c>
      <c r="AI332" s="54">
        <v>0</v>
      </c>
      <c r="AJ332" s="78" t="s">
        <v>906</v>
      </c>
      <c r="AK332" s="78" t="s">
        <v>908</v>
      </c>
      <c r="AL332" s="34"/>
    </row>
    <row r="333" spans="1:38" ht="14.5">
      <c r="A333" s="22">
        <v>2010</v>
      </c>
      <c r="B333" s="24" t="s">
        <v>368</v>
      </c>
      <c r="C333" s="24" t="s">
        <v>897</v>
      </c>
      <c r="D333" s="24" t="s">
        <v>105</v>
      </c>
      <c r="E333" s="22">
        <v>12</v>
      </c>
      <c r="F333" s="54" t="s">
        <v>142</v>
      </c>
      <c r="G333" s="711">
        <v>40543</v>
      </c>
      <c r="H333" s="719">
        <v>382911</v>
      </c>
      <c r="I333" s="59"/>
      <c r="J333" s="185">
        <v>11408270.080999998</v>
      </c>
      <c r="K333" s="87">
        <f t="shared" si="41"/>
        <v>29.793529256145678</v>
      </c>
      <c r="L333" s="88">
        <f>34102220.145362/M333</f>
        <v>0.13622470478058463</v>
      </c>
      <c r="M333" s="57">
        <v>250338000</v>
      </c>
      <c r="N333" s="54">
        <v>0</v>
      </c>
      <c r="O333" s="54">
        <v>0</v>
      </c>
      <c r="P333" s="57"/>
      <c r="Q333" s="62">
        <v>0</v>
      </c>
      <c r="R333" s="57">
        <v>0</v>
      </c>
      <c r="S333" s="57">
        <v>6216000</v>
      </c>
      <c r="T333" s="57">
        <v>651400</v>
      </c>
      <c r="U333" s="57">
        <v>13316076</v>
      </c>
      <c r="V333" s="84">
        <f t="shared" si="42"/>
        <v>13967476</v>
      </c>
      <c r="W333" s="57"/>
      <c r="X333" s="57"/>
      <c r="Y333" s="57">
        <v>399.04199999999997</v>
      </c>
      <c r="Z333" s="74">
        <f t="shared" si="43"/>
        <v>1.6324096210423966E-3</v>
      </c>
      <c r="AA333" s="74">
        <f t="shared" si="44"/>
        <v>1.5577307651826123E-2</v>
      </c>
      <c r="AB333" s="332">
        <v>554</v>
      </c>
      <c r="AC333" s="57"/>
      <c r="AD333" s="57">
        <v>390000</v>
      </c>
      <c r="AE333" s="57">
        <v>264000</v>
      </c>
      <c r="AF333" s="57">
        <v>264000</v>
      </c>
      <c r="AG333" s="713">
        <v>0.67692307692307696</v>
      </c>
      <c r="AH333" s="76">
        <v>0.17865892996512397</v>
      </c>
      <c r="AI333" s="54">
        <v>0</v>
      </c>
      <c r="AJ333" s="78" t="s">
        <v>913</v>
      </c>
      <c r="AK333" s="78" t="s">
        <v>914</v>
      </c>
      <c r="AL333" s="34"/>
    </row>
    <row r="334" spans="1:38" ht="14.5">
      <c r="A334" s="22">
        <v>2011</v>
      </c>
      <c r="B334" s="24" t="s">
        <v>368</v>
      </c>
      <c r="C334" s="24" t="s">
        <v>897</v>
      </c>
      <c r="D334" s="24" t="s">
        <v>105</v>
      </c>
      <c r="E334" s="22">
        <v>12</v>
      </c>
      <c r="F334" s="54" t="s">
        <v>142</v>
      </c>
      <c r="G334" s="711">
        <v>40908</v>
      </c>
      <c r="H334" s="57">
        <v>387155</v>
      </c>
      <c r="I334" s="59"/>
      <c r="J334" s="185">
        <v>13422846.151999999</v>
      </c>
      <c r="K334" s="87">
        <f t="shared" si="41"/>
        <v>34.67047087600573</v>
      </c>
      <c r="L334" s="88">
        <f>51494920.79535/M334</f>
        <v>0.1695149773694935</v>
      </c>
      <c r="M334" s="57">
        <v>303778000</v>
      </c>
      <c r="N334" s="54">
        <v>0</v>
      </c>
      <c r="O334" s="54">
        <v>0</v>
      </c>
      <c r="P334" s="57"/>
      <c r="Q334" s="62">
        <v>0</v>
      </c>
      <c r="R334" s="57">
        <v>0</v>
      </c>
      <c r="S334" s="57">
        <v>6821300</v>
      </c>
      <c r="T334" s="57">
        <v>830511</v>
      </c>
      <c r="U334" s="57">
        <v>12797286</v>
      </c>
      <c r="V334" s="84">
        <f t="shared" si="42"/>
        <v>13627797</v>
      </c>
      <c r="W334" s="57"/>
      <c r="X334" s="57"/>
      <c r="Y334" s="57">
        <v>461.358</v>
      </c>
      <c r="Z334" s="74">
        <f t="shared" si="43"/>
        <v>1.8001443564433694E-3</v>
      </c>
      <c r="AA334" s="74">
        <f t="shared" si="44"/>
        <v>1.478526437170267E-2</v>
      </c>
      <c r="AB334" s="57">
        <v>676</v>
      </c>
      <c r="AC334" s="57"/>
      <c r="AD334" s="57">
        <v>425000</v>
      </c>
      <c r="AE334" s="57">
        <v>198000</v>
      </c>
      <c r="AF334" s="57">
        <v>198000</v>
      </c>
      <c r="AG334" s="713">
        <v>0.46588235294117647</v>
      </c>
      <c r="AH334" s="76">
        <v>0.10149179688162324</v>
      </c>
      <c r="AI334" s="54">
        <v>0</v>
      </c>
      <c r="AJ334" s="78" t="s">
        <v>916</v>
      </c>
      <c r="AK334" s="78" t="s">
        <v>917</v>
      </c>
      <c r="AL334" s="34"/>
    </row>
    <row r="335" spans="1:38" ht="14.5">
      <c r="A335" s="22">
        <v>2012</v>
      </c>
      <c r="B335" s="24" t="s">
        <v>368</v>
      </c>
      <c r="C335" s="24" t="s">
        <v>897</v>
      </c>
      <c r="D335" s="24" t="s">
        <v>105</v>
      </c>
      <c r="E335" s="22">
        <v>12</v>
      </c>
      <c r="F335" s="54" t="s">
        <v>142</v>
      </c>
      <c r="G335" s="711">
        <v>41274</v>
      </c>
      <c r="H335" s="738">
        <v>411892</v>
      </c>
      <c r="I335" s="59"/>
      <c r="J335" s="185">
        <v>14973800.272</v>
      </c>
      <c r="K335" s="87">
        <f t="shared" si="41"/>
        <v>36.353705029473744</v>
      </c>
      <c r="L335" s="88">
        <f>59325058.624456/M335</f>
        <v>0.17230629864785363</v>
      </c>
      <c r="M335" s="57">
        <v>344300000</v>
      </c>
      <c r="N335" s="54">
        <v>0</v>
      </c>
      <c r="O335" s="54">
        <v>0</v>
      </c>
      <c r="P335" s="57"/>
      <c r="Q335" s="62">
        <v>0</v>
      </c>
      <c r="R335" s="57">
        <v>0</v>
      </c>
      <c r="S335" s="57">
        <v>6435000</v>
      </c>
      <c r="T335" s="57">
        <v>766984</v>
      </c>
      <c r="U335" s="57">
        <v>13004821</v>
      </c>
      <c r="V335" s="57">
        <f t="shared" si="42"/>
        <v>13771805</v>
      </c>
      <c r="W335" s="57"/>
      <c r="X335" s="57"/>
      <c r="Y335" s="57">
        <v>476.00299999999999</v>
      </c>
      <c r="Z335" s="74">
        <f t="shared" si="43"/>
        <v>1.6113007691127997E-3</v>
      </c>
      <c r="AA335" s="74">
        <f t="shared" si="44"/>
        <v>1.3518822360363275E-2</v>
      </c>
      <c r="AB335" s="57">
        <v>679</v>
      </c>
      <c r="AC335" s="57"/>
      <c r="AD335" s="57">
        <v>460000</v>
      </c>
      <c r="AE335" s="57">
        <v>132000</v>
      </c>
      <c r="AF335" s="57">
        <v>132000</v>
      </c>
      <c r="AG335" s="713">
        <v>0.28695652173913044</v>
      </c>
      <c r="AH335" s="76">
        <v>0.23514315286237839</v>
      </c>
      <c r="AI335" s="54">
        <v>1</v>
      </c>
      <c r="AJ335" s="34"/>
      <c r="AK335" s="78" t="s">
        <v>921</v>
      </c>
      <c r="AL335" s="34"/>
    </row>
    <row r="336" spans="1:38" ht="14.5">
      <c r="A336" s="22">
        <v>2013</v>
      </c>
      <c r="B336" s="24" t="s">
        <v>368</v>
      </c>
      <c r="C336" s="24" t="s">
        <v>897</v>
      </c>
      <c r="D336" s="24" t="s">
        <v>105</v>
      </c>
      <c r="E336" s="22">
        <v>12</v>
      </c>
      <c r="F336" s="54" t="s">
        <v>142</v>
      </c>
      <c r="G336" s="711">
        <v>41639</v>
      </c>
      <c r="H336" s="741">
        <v>397688</v>
      </c>
      <c r="I336" s="59"/>
      <c r="J336" s="185">
        <v>14104938.390999999</v>
      </c>
      <c r="K336" s="87">
        <f t="shared" si="41"/>
        <v>35.467347244573631</v>
      </c>
      <c r="L336" s="88">
        <f>55235792.015022/M336</f>
        <v>0.12683304710682433</v>
      </c>
      <c r="M336" s="57">
        <v>435500000</v>
      </c>
      <c r="N336" s="54">
        <v>0</v>
      </c>
      <c r="O336" s="54">
        <v>0</v>
      </c>
      <c r="P336" s="57"/>
      <c r="Q336" s="62">
        <v>0</v>
      </c>
      <c r="R336" s="57">
        <v>0</v>
      </c>
      <c r="S336" s="57">
        <v>6835000</v>
      </c>
      <c r="T336" s="57">
        <v>1080427</v>
      </c>
      <c r="U336" s="57">
        <v>13178941</v>
      </c>
      <c r="V336" s="57">
        <f t="shared" si="42"/>
        <v>14259368</v>
      </c>
      <c r="W336" s="57"/>
      <c r="X336" s="34"/>
      <c r="Y336" s="57">
        <v>503.43700000000001</v>
      </c>
      <c r="Z336" s="74">
        <f t="shared" ref="Z336:Z337" si="45">T337/(Y336*1000000)</f>
        <v>3.3973128713225289E-3</v>
      </c>
      <c r="AA336" s="74">
        <f t="shared" si="44"/>
        <v>1.3576673943313662E-2</v>
      </c>
      <c r="AB336" s="57">
        <v>658</v>
      </c>
      <c r="AC336" s="57"/>
      <c r="AD336" s="57">
        <v>400000</v>
      </c>
      <c r="AE336" s="57">
        <v>0</v>
      </c>
      <c r="AF336" s="57">
        <v>0</v>
      </c>
      <c r="AG336" s="64">
        <v>0</v>
      </c>
      <c r="AH336" s="76">
        <v>0.39000417776067725</v>
      </c>
      <c r="AI336" s="54">
        <v>1</v>
      </c>
      <c r="AJ336" s="34"/>
      <c r="AK336" s="78" t="s">
        <v>924</v>
      </c>
      <c r="AL336" s="34"/>
    </row>
    <row r="337" spans="1:38" ht="14.5">
      <c r="A337" s="22">
        <v>2014</v>
      </c>
      <c r="B337" s="24" t="s">
        <v>368</v>
      </c>
      <c r="C337" s="24" t="s">
        <v>897</v>
      </c>
      <c r="D337" s="24" t="s">
        <v>105</v>
      </c>
      <c r="E337" s="22">
        <v>12</v>
      </c>
      <c r="F337" s="54" t="s">
        <v>142</v>
      </c>
      <c r="G337" s="711">
        <v>42004</v>
      </c>
      <c r="H337" s="57">
        <v>380135</v>
      </c>
      <c r="I337" s="59"/>
      <c r="J337" s="185">
        <v>14537123.869000001</v>
      </c>
      <c r="K337" s="87">
        <f t="shared" si="41"/>
        <v>38.242003154142608</v>
      </c>
      <c r="L337" s="88">
        <f>55523004.36272/M337</f>
        <v>0.13505960681761128</v>
      </c>
      <c r="M337" s="57">
        <v>411100000</v>
      </c>
      <c r="N337" s="54">
        <v>0</v>
      </c>
      <c r="O337" s="54">
        <v>0</v>
      </c>
      <c r="P337" s="57"/>
      <c r="Q337" s="62">
        <v>0</v>
      </c>
      <c r="R337" s="57">
        <v>0</v>
      </c>
      <c r="S337" s="57">
        <v>8888000</v>
      </c>
      <c r="T337" s="57">
        <v>1710333</v>
      </c>
      <c r="U337" s="57">
        <v>14589662</v>
      </c>
      <c r="V337" s="84">
        <f t="shared" si="42"/>
        <v>16299995</v>
      </c>
      <c r="W337" s="57"/>
      <c r="X337" s="57"/>
      <c r="Y337" s="57">
        <v>504.678</v>
      </c>
      <c r="Z337" s="74">
        <f t="shared" si="45"/>
        <v>4.8538890143814475E-3</v>
      </c>
      <c r="AA337" s="74">
        <f t="shared" si="44"/>
        <v>1.7611229338310764E-2</v>
      </c>
      <c r="AB337" s="57">
        <v>658</v>
      </c>
      <c r="AC337" s="57"/>
      <c r="AD337" s="57">
        <v>410000</v>
      </c>
      <c r="AE337" s="57">
        <v>0</v>
      </c>
      <c r="AF337" s="57">
        <v>0</v>
      </c>
      <c r="AG337" s="64">
        <v>0</v>
      </c>
      <c r="AH337" s="76">
        <v>0.44236363636363635</v>
      </c>
      <c r="AI337" s="54">
        <v>1</v>
      </c>
      <c r="AJ337" s="78" t="s">
        <v>928</v>
      </c>
      <c r="AK337" s="78" t="s">
        <v>931</v>
      </c>
      <c r="AL337" s="34"/>
    </row>
    <row r="338" spans="1:38" ht="14.5">
      <c r="A338" s="22">
        <v>2015</v>
      </c>
      <c r="B338" s="24" t="s">
        <v>368</v>
      </c>
      <c r="C338" s="24" t="s">
        <v>897</v>
      </c>
      <c r="D338" s="24" t="s">
        <v>105</v>
      </c>
      <c r="E338" s="22">
        <v>12</v>
      </c>
      <c r="F338" s="54" t="s">
        <v>142</v>
      </c>
      <c r="G338" s="711">
        <v>42369</v>
      </c>
      <c r="H338" s="745">
        <v>435718</v>
      </c>
      <c r="I338" s="59"/>
      <c r="J338" s="185">
        <v>16354099.245300001</v>
      </c>
      <c r="K338" s="87">
        <f t="shared" si="41"/>
        <v>37.533678308676713</v>
      </c>
      <c r="L338" s="88">
        <f>44185817.169653/M338</f>
        <v>0.10530461670556006</v>
      </c>
      <c r="M338" s="57">
        <v>419600000</v>
      </c>
      <c r="N338" s="163">
        <v>7600000</v>
      </c>
      <c r="O338" s="163">
        <v>7600000</v>
      </c>
      <c r="P338" s="84"/>
      <c r="Q338" s="88">
        <v>0.46471529162232289</v>
      </c>
      <c r="R338" s="57">
        <v>115600000</v>
      </c>
      <c r="S338" s="57">
        <v>8635333</v>
      </c>
      <c r="T338" s="57">
        <v>2449651</v>
      </c>
      <c r="U338" s="57">
        <v>8630200</v>
      </c>
      <c r="V338" s="84">
        <f t="shared" si="42"/>
        <v>11079851</v>
      </c>
      <c r="W338" s="57"/>
      <c r="X338" s="57"/>
      <c r="Y338" s="57">
        <v>509.46899999999999</v>
      </c>
      <c r="Z338" s="74">
        <f t="shared" ref="Z338:Z340" si="46">T338/(Y338*1000000)</f>
        <v>4.8082434848832805E-3</v>
      </c>
      <c r="AA338" s="74">
        <f t="shared" si="44"/>
        <v>1.6949673091002593E-2</v>
      </c>
      <c r="AB338" s="57">
        <v>580</v>
      </c>
      <c r="AC338" s="57"/>
      <c r="AD338" s="57">
        <v>380000</v>
      </c>
      <c r="AE338" s="57">
        <v>0</v>
      </c>
      <c r="AF338" s="57">
        <v>0</v>
      </c>
      <c r="AG338" s="64">
        <v>0</v>
      </c>
      <c r="AH338" s="76">
        <v>0.35418992846121478</v>
      </c>
      <c r="AI338" s="54">
        <v>1</v>
      </c>
      <c r="AJ338" s="78" t="s">
        <v>939</v>
      </c>
      <c r="AK338" s="78" t="s">
        <v>943</v>
      </c>
      <c r="AL338" s="34"/>
    </row>
    <row r="339" spans="1:38" ht="14.5">
      <c r="A339" s="22">
        <v>2016</v>
      </c>
      <c r="B339" s="24" t="s">
        <v>368</v>
      </c>
      <c r="C339" s="24" t="s">
        <v>897</v>
      </c>
      <c r="D339" s="24" t="s">
        <v>105</v>
      </c>
      <c r="E339" s="22">
        <v>12</v>
      </c>
      <c r="F339" s="54" t="s">
        <v>142</v>
      </c>
      <c r="G339" s="711">
        <v>42735</v>
      </c>
      <c r="H339" s="753">
        <v>381663</v>
      </c>
      <c r="I339" s="59"/>
      <c r="J339" s="185">
        <v>19082204.029899999</v>
      </c>
      <c r="K339" s="87">
        <f t="shared" si="41"/>
        <v>49.997521451909144</v>
      </c>
      <c r="L339" s="88">
        <f>43932174.222555/M339</f>
        <v>0.12009889071228813</v>
      </c>
      <c r="M339" s="57">
        <v>365800000</v>
      </c>
      <c r="N339" s="54">
        <v>2000000</v>
      </c>
      <c r="O339" s="54">
        <v>2000000</v>
      </c>
      <c r="P339" s="57"/>
      <c r="Q339" s="88">
        <v>0.1048096958226728</v>
      </c>
      <c r="R339" s="57">
        <v>214500000</v>
      </c>
      <c r="S339" s="57">
        <v>8635333</v>
      </c>
      <c r="T339" s="57">
        <v>1761743</v>
      </c>
      <c r="U339" s="57">
        <v>9673137</v>
      </c>
      <c r="V339" s="84">
        <f t="shared" si="42"/>
        <v>11434880</v>
      </c>
      <c r="W339" s="57"/>
      <c r="X339" s="57"/>
      <c r="Y339" s="57">
        <v>513.70899999999995</v>
      </c>
      <c r="Z339" s="74">
        <f t="shared" si="46"/>
        <v>3.4294571440251199E-3</v>
      </c>
      <c r="AA339" s="74">
        <f t="shared" si="44"/>
        <v>1.6809775573330427E-2</v>
      </c>
      <c r="AB339" s="57">
        <v>647</v>
      </c>
      <c r="AC339" s="57"/>
      <c r="AD339" s="57">
        <v>405000</v>
      </c>
      <c r="AE339" s="57">
        <v>240000</v>
      </c>
      <c r="AF339" s="57">
        <v>112736.15845577201</v>
      </c>
      <c r="AG339" s="713">
        <v>0.27836088507597995</v>
      </c>
      <c r="AH339" s="76">
        <v>0.35611436092424686</v>
      </c>
      <c r="AI339" s="54">
        <v>1</v>
      </c>
      <c r="AJ339" s="34"/>
      <c r="AK339" s="78" t="s">
        <v>948</v>
      </c>
      <c r="AL339" s="34"/>
    </row>
    <row r="340" spans="1:38" ht="14.5">
      <c r="A340" s="22">
        <v>2017</v>
      </c>
      <c r="B340" s="24" t="s">
        <v>368</v>
      </c>
      <c r="C340" s="24" t="s">
        <v>897</v>
      </c>
      <c r="D340" s="24" t="s">
        <v>105</v>
      </c>
      <c r="E340" s="22">
        <v>12</v>
      </c>
      <c r="F340" s="54" t="s">
        <v>142</v>
      </c>
      <c r="G340" s="711">
        <v>43100</v>
      </c>
      <c r="H340" s="57">
        <v>317898</v>
      </c>
      <c r="I340" s="59"/>
      <c r="J340" s="185">
        <v>9107385.9246999994</v>
      </c>
      <c r="K340" s="87">
        <f t="shared" si="41"/>
        <v>28.648767606905359</v>
      </c>
      <c r="L340" s="88">
        <f>24118170.561491/M340</f>
        <v>7.5134487730501562E-2</v>
      </c>
      <c r="M340" s="57">
        <v>321000000</v>
      </c>
      <c r="N340" s="54">
        <v>0</v>
      </c>
      <c r="O340" s="54">
        <v>0</v>
      </c>
      <c r="P340" s="57"/>
      <c r="Q340" s="62">
        <v>0</v>
      </c>
      <c r="R340" s="57">
        <v>290500000</v>
      </c>
      <c r="S340" s="57">
        <v>3896363</v>
      </c>
      <c r="T340" s="57">
        <v>1193629</v>
      </c>
      <c r="U340" s="57">
        <v>1386993</v>
      </c>
      <c r="V340" s="84">
        <f t="shared" si="42"/>
        <v>2580622</v>
      </c>
      <c r="W340" s="57"/>
      <c r="X340" s="57"/>
      <c r="Y340" s="57">
        <v>578.63599999999997</v>
      </c>
      <c r="Z340" s="74">
        <f t="shared" si="46"/>
        <v>2.0628322468702258E-3</v>
      </c>
      <c r="AA340" s="74">
        <f t="shared" si="44"/>
        <v>6.7337030533876222E-3</v>
      </c>
      <c r="AB340" s="57">
        <v>746</v>
      </c>
      <c r="AC340" s="57">
        <v>360</v>
      </c>
      <c r="AD340" s="57">
        <v>560000</v>
      </c>
      <c r="AE340" s="57">
        <v>0</v>
      </c>
      <c r="AF340" s="57">
        <v>0</v>
      </c>
      <c r="AG340" s="64">
        <v>0</v>
      </c>
      <c r="AH340" s="76">
        <v>0.39702514890800794</v>
      </c>
      <c r="AI340" s="54">
        <v>1</v>
      </c>
      <c r="AJ340" s="78" t="s">
        <v>950</v>
      </c>
      <c r="AK340" s="78" t="s">
        <v>952</v>
      </c>
      <c r="AL340" s="34"/>
    </row>
    <row r="341" spans="1:38" ht="14.5">
      <c r="A341" s="40">
        <v>2004</v>
      </c>
      <c r="B341" s="41" t="s">
        <v>954</v>
      </c>
      <c r="C341" s="41" t="s">
        <v>955</v>
      </c>
      <c r="D341" s="41" t="s">
        <v>363</v>
      </c>
      <c r="E341" s="40">
        <v>11</v>
      </c>
      <c r="H341" s="43"/>
      <c r="I341" s="117">
        <f t="shared" ref="I341:I597" si="47">(H341/H340)-1</f>
        <v>-1</v>
      </c>
      <c r="J341" s="43"/>
      <c r="K341" s="44"/>
      <c r="L341" s="45"/>
      <c r="M341" s="43"/>
      <c r="N341" s="46"/>
      <c r="O341" s="46"/>
      <c r="P341" s="45"/>
      <c r="Q341" s="45"/>
      <c r="R341" s="45"/>
      <c r="S341" s="43"/>
      <c r="T341" s="43"/>
      <c r="U341" s="43"/>
      <c r="V341" s="43"/>
      <c r="W341" s="43"/>
      <c r="X341" s="43"/>
      <c r="Y341" s="43"/>
      <c r="Z341" s="43"/>
      <c r="AA341" s="43"/>
      <c r="AB341" s="43">
        <f>AVERAGE(AB332:AB340)</f>
        <v>636.88888888888891</v>
      </c>
      <c r="AC341" s="43"/>
      <c r="AD341" s="43"/>
      <c r="AE341" s="48"/>
      <c r="AF341" s="48"/>
      <c r="AG341" s="48"/>
      <c r="AH341" s="50"/>
    </row>
    <row r="342" spans="1:38" ht="14.5">
      <c r="A342" s="40">
        <v>2005</v>
      </c>
      <c r="B342" s="41" t="s">
        <v>954</v>
      </c>
      <c r="C342" s="41" t="s">
        <v>955</v>
      </c>
      <c r="D342" s="41" t="s">
        <v>363</v>
      </c>
      <c r="E342" s="40">
        <v>11</v>
      </c>
      <c r="H342" s="43"/>
      <c r="I342" s="117" t="e">
        <f t="shared" si="47"/>
        <v>#DIV/0!</v>
      </c>
      <c r="J342" s="43"/>
      <c r="K342" s="44"/>
      <c r="L342" s="45"/>
      <c r="M342" s="43"/>
      <c r="N342" s="46"/>
      <c r="O342" s="46"/>
      <c r="P342" s="45"/>
      <c r="Q342" s="45"/>
      <c r="R342" s="45"/>
      <c r="S342" s="43"/>
      <c r="T342" s="43"/>
      <c r="U342" s="43"/>
      <c r="V342" s="43"/>
      <c r="W342" s="43"/>
      <c r="X342" s="43"/>
      <c r="Y342" s="43"/>
      <c r="Z342" s="43"/>
      <c r="AA342" s="43"/>
      <c r="AB342" s="43"/>
      <c r="AC342" s="43"/>
      <c r="AD342" s="43"/>
      <c r="AE342" s="48"/>
      <c r="AF342" s="48"/>
      <c r="AG342" s="48"/>
      <c r="AH342" s="50"/>
    </row>
    <row r="343" spans="1:38" ht="14.5">
      <c r="A343" s="40">
        <v>2006</v>
      </c>
      <c r="B343" s="41" t="s">
        <v>954</v>
      </c>
      <c r="C343" s="41" t="s">
        <v>955</v>
      </c>
      <c r="D343" s="41" t="s">
        <v>363</v>
      </c>
      <c r="E343" s="40">
        <v>11</v>
      </c>
      <c r="H343" s="43"/>
      <c r="I343" s="117" t="e">
        <f t="shared" si="47"/>
        <v>#DIV/0!</v>
      </c>
      <c r="J343" s="43"/>
      <c r="K343" s="44"/>
      <c r="L343" s="45"/>
      <c r="M343" s="43"/>
      <c r="N343" s="46"/>
      <c r="O343" s="46"/>
      <c r="P343" s="45"/>
      <c r="Q343" s="45"/>
      <c r="R343" s="45"/>
      <c r="S343" s="43"/>
      <c r="T343" s="43"/>
      <c r="U343" s="43"/>
      <c r="V343" s="43"/>
      <c r="W343" s="43"/>
      <c r="X343" s="43"/>
      <c r="Y343" s="43"/>
      <c r="Z343" s="43"/>
      <c r="AA343" s="43"/>
      <c r="AB343" s="43"/>
      <c r="AC343" s="43"/>
      <c r="AD343" s="43"/>
      <c r="AE343" s="48"/>
      <c r="AF343" s="48"/>
      <c r="AG343" s="48"/>
      <c r="AH343" s="50"/>
    </row>
    <row r="344" spans="1:38" ht="14.5">
      <c r="A344" s="40">
        <v>2007</v>
      </c>
      <c r="B344" s="41" t="s">
        <v>954</v>
      </c>
      <c r="C344" s="41" t="s">
        <v>955</v>
      </c>
      <c r="D344" s="41" t="s">
        <v>363</v>
      </c>
      <c r="E344" s="40">
        <v>11</v>
      </c>
      <c r="H344" s="43"/>
      <c r="I344" s="117" t="e">
        <f t="shared" si="47"/>
        <v>#DIV/0!</v>
      </c>
      <c r="J344" s="43"/>
      <c r="K344" s="44"/>
      <c r="L344" s="45"/>
      <c r="M344" s="43"/>
      <c r="N344" s="46"/>
      <c r="O344" s="46"/>
      <c r="P344" s="45"/>
      <c r="Q344" s="45"/>
      <c r="R344" s="45"/>
      <c r="S344" s="43"/>
      <c r="T344" s="43"/>
      <c r="U344" s="43"/>
      <c r="V344" s="43"/>
      <c r="W344" s="43"/>
      <c r="X344" s="43"/>
      <c r="Y344" s="43"/>
      <c r="Z344" s="43"/>
      <c r="AA344" s="43"/>
      <c r="AB344" s="43"/>
      <c r="AC344" s="43"/>
      <c r="AD344" s="43"/>
      <c r="AE344" s="48"/>
      <c r="AF344" s="48"/>
      <c r="AG344" s="48"/>
      <c r="AH344" s="50"/>
    </row>
    <row r="345" spans="1:38" ht="14.5">
      <c r="A345" s="40">
        <v>2008</v>
      </c>
      <c r="B345" s="41" t="s">
        <v>954</v>
      </c>
      <c r="C345" s="41" t="s">
        <v>955</v>
      </c>
      <c r="D345" s="41" t="s">
        <v>363</v>
      </c>
      <c r="E345" s="40">
        <v>11</v>
      </c>
      <c r="H345" s="43"/>
      <c r="I345" s="117" t="e">
        <f t="shared" si="47"/>
        <v>#DIV/0!</v>
      </c>
      <c r="J345" s="43"/>
      <c r="K345" s="44"/>
      <c r="L345" s="45"/>
      <c r="M345" s="43"/>
      <c r="N345" s="46"/>
      <c r="O345" s="46"/>
      <c r="P345" s="45"/>
      <c r="Q345" s="45"/>
      <c r="R345" s="45"/>
      <c r="S345" s="43"/>
      <c r="T345" s="43"/>
      <c r="U345" s="43"/>
      <c r="V345" s="43"/>
      <c r="W345" s="43"/>
      <c r="X345" s="43"/>
      <c r="Y345" s="43"/>
      <c r="Z345" s="43"/>
      <c r="AA345" s="43"/>
      <c r="AB345" s="43"/>
      <c r="AC345" s="43"/>
      <c r="AD345" s="43"/>
      <c r="AE345" s="48"/>
      <c r="AF345" s="48"/>
      <c r="AG345" s="48"/>
      <c r="AH345" s="50"/>
    </row>
    <row r="346" spans="1:38" ht="14.5">
      <c r="A346" s="40">
        <v>2009</v>
      </c>
      <c r="B346" s="41" t="s">
        <v>954</v>
      </c>
      <c r="C346" s="41" t="s">
        <v>955</v>
      </c>
      <c r="D346" s="41" t="s">
        <v>363</v>
      </c>
      <c r="E346" s="40">
        <v>11</v>
      </c>
      <c r="H346" s="43"/>
      <c r="I346" s="117" t="e">
        <f t="shared" si="47"/>
        <v>#DIV/0!</v>
      </c>
      <c r="J346" s="43"/>
      <c r="K346" s="44"/>
      <c r="L346" s="45"/>
      <c r="M346" s="43"/>
      <c r="N346" s="46"/>
      <c r="O346" s="46"/>
      <c r="P346" s="45"/>
      <c r="Q346" s="45"/>
      <c r="R346" s="45"/>
      <c r="S346" s="43"/>
      <c r="T346" s="43"/>
      <c r="U346" s="43"/>
      <c r="V346" s="43"/>
      <c r="W346" s="43"/>
      <c r="X346" s="43"/>
      <c r="Y346" s="43"/>
      <c r="Z346" s="43"/>
      <c r="AA346" s="43"/>
      <c r="AB346" s="43"/>
      <c r="AC346" s="43"/>
      <c r="AD346" s="43"/>
      <c r="AE346" s="48"/>
      <c r="AF346" s="48"/>
      <c r="AG346" s="48"/>
      <c r="AH346" s="50"/>
    </row>
    <row r="347" spans="1:38" ht="14.5">
      <c r="A347" s="40">
        <v>2010</v>
      </c>
      <c r="B347" s="41" t="s">
        <v>954</v>
      </c>
      <c r="C347" s="41" t="s">
        <v>955</v>
      </c>
      <c r="D347" s="41" t="s">
        <v>363</v>
      </c>
      <c r="E347" s="40">
        <v>11</v>
      </c>
      <c r="H347" s="43"/>
      <c r="I347" s="117" t="e">
        <f t="shared" si="47"/>
        <v>#DIV/0!</v>
      </c>
      <c r="J347" s="43"/>
      <c r="K347" s="44"/>
      <c r="L347" s="45"/>
      <c r="M347" s="43"/>
      <c r="N347" s="46"/>
      <c r="O347" s="46"/>
      <c r="P347" s="45"/>
      <c r="Q347" s="45"/>
      <c r="R347" s="45"/>
      <c r="S347" s="43"/>
      <c r="T347" s="43"/>
      <c r="U347" s="43"/>
      <c r="V347" s="43"/>
      <c r="W347" s="43"/>
      <c r="X347" s="43"/>
      <c r="Y347" s="43"/>
      <c r="Z347" s="43"/>
      <c r="AA347" s="43"/>
      <c r="AB347" s="43"/>
      <c r="AC347" s="43"/>
      <c r="AD347" s="43"/>
      <c r="AE347" s="48"/>
      <c r="AF347" s="48"/>
      <c r="AG347" s="48"/>
      <c r="AH347" s="50"/>
    </row>
    <row r="348" spans="1:38" ht="14.5">
      <c r="A348" s="40">
        <v>2011</v>
      </c>
      <c r="B348" s="41" t="s">
        <v>954</v>
      </c>
      <c r="C348" s="41" t="s">
        <v>955</v>
      </c>
      <c r="D348" s="41" t="s">
        <v>363</v>
      </c>
      <c r="E348" s="40">
        <v>11</v>
      </c>
      <c r="H348" s="43"/>
      <c r="I348" s="117" t="e">
        <f t="shared" si="47"/>
        <v>#DIV/0!</v>
      </c>
      <c r="J348" s="43"/>
      <c r="K348" s="44"/>
      <c r="L348" s="45"/>
      <c r="M348" s="43"/>
      <c r="N348" s="46"/>
      <c r="O348" s="46"/>
      <c r="P348" s="45"/>
      <c r="Q348" s="45"/>
      <c r="R348" s="45"/>
      <c r="S348" s="43"/>
      <c r="T348" s="43"/>
      <c r="U348" s="43"/>
      <c r="V348" s="43"/>
      <c r="W348" s="43"/>
      <c r="X348" s="43"/>
      <c r="Y348" s="43"/>
      <c r="Z348" s="43"/>
      <c r="AA348" s="43"/>
      <c r="AB348" s="43"/>
      <c r="AC348" s="43"/>
      <c r="AD348" s="43"/>
      <c r="AE348" s="48"/>
      <c r="AF348" s="48"/>
      <c r="AG348" s="48"/>
      <c r="AH348" s="50"/>
    </row>
    <row r="349" spans="1:38" ht="14.5">
      <c r="A349" s="40">
        <v>2012</v>
      </c>
      <c r="B349" s="41" t="s">
        <v>954</v>
      </c>
      <c r="C349" s="41" t="s">
        <v>955</v>
      </c>
      <c r="D349" s="41" t="s">
        <v>363</v>
      </c>
      <c r="E349" s="40">
        <v>11</v>
      </c>
      <c r="H349" s="43"/>
      <c r="I349" s="117" t="e">
        <f t="shared" si="47"/>
        <v>#DIV/0!</v>
      </c>
      <c r="J349" s="43"/>
      <c r="K349" s="44"/>
      <c r="L349" s="45"/>
      <c r="M349" s="43"/>
      <c r="N349" s="46"/>
      <c r="O349" s="46"/>
      <c r="P349" s="45"/>
      <c r="Q349" s="45"/>
      <c r="R349" s="45"/>
      <c r="S349" s="43"/>
      <c r="T349" s="43"/>
      <c r="U349" s="43"/>
      <c r="V349" s="43"/>
      <c r="W349" s="43"/>
      <c r="X349" s="43"/>
      <c r="Y349" s="43"/>
      <c r="Z349" s="43"/>
      <c r="AA349" s="43"/>
      <c r="AB349" s="43"/>
      <c r="AC349" s="43"/>
      <c r="AD349" s="43"/>
      <c r="AE349" s="48"/>
      <c r="AF349" s="48"/>
      <c r="AG349" s="48"/>
      <c r="AH349" s="50"/>
    </row>
    <row r="350" spans="1:38" ht="14.5">
      <c r="A350" s="40">
        <v>2013</v>
      </c>
      <c r="B350" s="41" t="s">
        <v>954</v>
      </c>
      <c r="C350" s="41" t="s">
        <v>955</v>
      </c>
      <c r="D350" s="41" t="s">
        <v>363</v>
      </c>
      <c r="E350" s="40">
        <v>11</v>
      </c>
      <c r="H350" s="43"/>
      <c r="I350" s="117" t="e">
        <f t="shared" si="47"/>
        <v>#DIV/0!</v>
      </c>
      <c r="J350" s="43"/>
      <c r="K350" s="44"/>
      <c r="L350" s="45"/>
      <c r="M350" s="43"/>
      <c r="N350" s="46"/>
      <c r="O350" s="46"/>
      <c r="P350" s="45"/>
      <c r="Q350" s="45"/>
      <c r="R350" s="45"/>
      <c r="S350" s="43"/>
      <c r="T350" s="43"/>
      <c r="U350" s="43"/>
      <c r="V350" s="43"/>
      <c r="W350" s="43"/>
      <c r="X350" s="43"/>
      <c r="Y350" s="43"/>
      <c r="Z350" s="43"/>
      <c r="AA350" s="43"/>
      <c r="AB350" s="43"/>
      <c r="AC350" s="43"/>
      <c r="AD350" s="43"/>
      <c r="AE350" s="48"/>
      <c r="AF350" s="48"/>
      <c r="AG350" s="48"/>
      <c r="AH350" s="50"/>
    </row>
    <row r="351" spans="1:38" ht="14.5">
      <c r="A351" s="40">
        <v>2014</v>
      </c>
      <c r="B351" s="41" t="s">
        <v>954</v>
      </c>
      <c r="C351" s="41" t="s">
        <v>955</v>
      </c>
      <c r="D351" s="41" t="s">
        <v>363</v>
      </c>
      <c r="E351" s="40">
        <v>11</v>
      </c>
      <c r="H351" s="43"/>
      <c r="I351" s="117" t="e">
        <f t="shared" si="47"/>
        <v>#DIV/0!</v>
      </c>
      <c r="J351" s="43"/>
      <c r="K351" s="44"/>
      <c r="L351" s="45"/>
      <c r="M351" s="43"/>
      <c r="N351" s="46"/>
      <c r="O351" s="46"/>
      <c r="P351" s="45"/>
      <c r="Q351" s="45"/>
      <c r="R351" s="45"/>
      <c r="S351" s="43"/>
      <c r="T351" s="43"/>
      <c r="U351" s="43"/>
      <c r="V351" s="43"/>
      <c r="W351" s="43"/>
      <c r="X351" s="43"/>
      <c r="Y351" s="43"/>
      <c r="Z351" s="43"/>
      <c r="AA351" s="43"/>
      <c r="AB351" s="43"/>
      <c r="AC351" s="43"/>
      <c r="AD351" s="43"/>
      <c r="AE351" s="48"/>
      <c r="AF351" s="48"/>
      <c r="AG351" s="48"/>
      <c r="AH351" s="50"/>
    </row>
    <row r="352" spans="1:38" ht="14.5">
      <c r="A352" s="40">
        <v>2015</v>
      </c>
      <c r="B352" s="41" t="s">
        <v>954</v>
      </c>
      <c r="C352" s="41" t="s">
        <v>955</v>
      </c>
      <c r="D352" s="41" t="s">
        <v>363</v>
      </c>
      <c r="E352" s="40">
        <v>11</v>
      </c>
      <c r="H352" s="43"/>
      <c r="I352" s="117" t="e">
        <f t="shared" si="47"/>
        <v>#DIV/0!</v>
      </c>
      <c r="J352" s="43"/>
      <c r="K352" s="44"/>
      <c r="L352" s="45"/>
      <c r="M352" s="43"/>
      <c r="N352" s="46"/>
      <c r="O352" s="46"/>
      <c r="P352" s="45"/>
      <c r="Q352" s="45"/>
      <c r="R352" s="45"/>
      <c r="S352" s="43"/>
      <c r="T352" s="43"/>
      <c r="U352" s="43"/>
      <c r="V352" s="43"/>
      <c r="W352" s="43"/>
      <c r="X352" s="43"/>
      <c r="Y352" s="43"/>
      <c r="Z352" s="43"/>
      <c r="AA352" s="43"/>
      <c r="AB352" s="43"/>
      <c r="AC352" s="43"/>
      <c r="AD352" s="43"/>
      <c r="AE352" s="48"/>
      <c r="AF352" s="48"/>
      <c r="AG352" s="48"/>
      <c r="AH352" s="50"/>
    </row>
    <row r="353" spans="1:34" ht="14.5">
      <c r="A353" s="40">
        <v>2016</v>
      </c>
      <c r="B353" s="41" t="s">
        <v>954</v>
      </c>
      <c r="C353" s="41" t="s">
        <v>955</v>
      </c>
      <c r="D353" s="41" t="s">
        <v>363</v>
      </c>
      <c r="E353" s="40">
        <v>11</v>
      </c>
      <c r="H353" s="43"/>
      <c r="I353" s="117" t="e">
        <f t="shared" si="47"/>
        <v>#DIV/0!</v>
      </c>
      <c r="J353" s="43"/>
      <c r="K353" s="44"/>
      <c r="L353" s="45"/>
      <c r="M353" s="43"/>
      <c r="N353" s="46"/>
      <c r="O353" s="46"/>
      <c r="P353" s="45"/>
      <c r="Q353" s="45"/>
      <c r="R353" s="45"/>
      <c r="S353" s="43"/>
      <c r="T353" s="43"/>
      <c r="U353" s="43"/>
      <c r="V353" s="43"/>
      <c r="W353" s="43"/>
      <c r="X353" s="43"/>
      <c r="Y353" s="43"/>
      <c r="Z353" s="43"/>
      <c r="AA353" s="43"/>
      <c r="AB353" s="43"/>
      <c r="AC353" s="43"/>
      <c r="AD353" s="43"/>
      <c r="AE353" s="48"/>
      <c r="AF353" s="48"/>
      <c r="AG353" s="48"/>
      <c r="AH353" s="50"/>
    </row>
    <row r="354" spans="1:34" ht="14.5">
      <c r="A354" s="40">
        <v>2017</v>
      </c>
      <c r="B354" s="41" t="s">
        <v>954</v>
      </c>
      <c r="C354" s="41" t="s">
        <v>955</v>
      </c>
      <c r="D354" s="41" t="s">
        <v>363</v>
      </c>
      <c r="E354" s="40">
        <v>11</v>
      </c>
      <c r="H354" s="43"/>
      <c r="I354" s="117" t="e">
        <f t="shared" si="47"/>
        <v>#DIV/0!</v>
      </c>
      <c r="J354" s="43"/>
      <c r="K354" s="44"/>
      <c r="L354" s="45"/>
      <c r="M354" s="43"/>
      <c r="N354" s="46"/>
      <c r="O354" s="46"/>
      <c r="P354" s="45"/>
      <c r="Q354" s="45"/>
      <c r="R354" s="45"/>
      <c r="S354" s="43"/>
      <c r="T354" s="43"/>
      <c r="U354" s="43"/>
      <c r="V354" s="43"/>
      <c r="W354" s="43"/>
      <c r="X354" s="43"/>
      <c r="Y354" s="43"/>
      <c r="Z354" s="43"/>
      <c r="AA354" s="43"/>
      <c r="AB354" s="43"/>
      <c r="AC354" s="43"/>
      <c r="AD354" s="43"/>
      <c r="AE354" s="48"/>
      <c r="AF354" s="48"/>
      <c r="AG354" s="48"/>
      <c r="AH354" s="50"/>
    </row>
    <row r="355" spans="1:34" ht="14.5">
      <c r="A355" s="40">
        <v>2007</v>
      </c>
      <c r="B355" s="41" t="s">
        <v>960</v>
      </c>
      <c r="C355" s="41" t="s">
        <v>961</v>
      </c>
      <c r="D355" s="41" t="s">
        <v>363</v>
      </c>
      <c r="E355" s="40">
        <v>11</v>
      </c>
      <c r="H355" s="43"/>
      <c r="I355" s="117" t="e">
        <f t="shared" si="47"/>
        <v>#DIV/0!</v>
      </c>
      <c r="J355" s="43"/>
      <c r="K355" s="44"/>
      <c r="L355" s="45"/>
      <c r="M355" s="43"/>
      <c r="N355" s="46"/>
      <c r="O355" s="46"/>
      <c r="P355" s="45"/>
      <c r="Q355" s="45"/>
      <c r="R355" s="45"/>
      <c r="S355" s="43"/>
      <c r="T355" s="43"/>
      <c r="U355" s="43"/>
      <c r="V355" s="43"/>
      <c r="W355" s="43"/>
      <c r="X355" s="43"/>
      <c r="Y355" s="43"/>
      <c r="Z355" s="43"/>
      <c r="AA355" s="43"/>
      <c r="AB355" s="43"/>
      <c r="AC355" s="43"/>
      <c r="AD355" s="43"/>
      <c r="AE355" s="48"/>
      <c r="AF355" s="48"/>
      <c r="AG355" s="48"/>
      <c r="AH355" s="50"/>
    </row>
    <row r="356" spans="1:34" ht="14.5">
      <c r="A356" s="40">
        <v>2008</v>
      </c>
      <c r="B356" s="41" t="s">
        <v>960</v>
      </c>
      <c r="C356" s="41" t="s">
        <v>961</v>
      </c>
      <c r="D356" s="41" t="s">
        <v>363</v>
      </c>
      <c r="E356" s="40">
        <v>11</v>
      </c>
      <c r="H356" s="43"/>
      <c r="I356" s="117" t="e">
        <f t="shared" si="47"/>
        <v>#DIV/0!</v>
      </c>
      <c r="J356" s="43"/>
      <c r="K356" s="44"/>
      <c r="L356" s="45"/>
      <c r="M356" s="43"/>
      <c r="N356" s="46"/>
      <c r="O356" s="46"/>
      <c r="P356" s="45"/>
      <c r="Q356" s="45"/>
      <c r="R356" s="45"/>
      <c r="S356" s="43"/>
      <c r="T356" s="43"/>
      <c r="U356" s="43"/>
      <c r="V356" s="43"/>
      <c r="W356" s="43"/>
      <c r="X356" s="43"/>
      <c r="Y356" s="43"/>
      <c r="Z356" s="43"/>
      <c r="AA356" s="43"/>
      <c r="AB356" s="43"/>
      <c r="AC356" s="43"/>
      <c r="AD356" s="43"/>
      <c r="AE356" s="48"/>
      <c r="AF356" s="48"/>
      <c r="AG356" s="48"/>
      <c r="AH356" s="50"/>
    </row>
    <row r="357" spans="1:34" ht="14.5">
      <c r="A357" s="40">
        <v>2009</v>
      </c>
      <c r="B357" s="41" t="s">
        <v>960</v>
      </c>
      <c r="C357" s="41" t="s">
        <v>961</v>
      </c>
      <c r="D357" s="41" t="s">
        <v>105</v>
      </c>
      <c r="E357" s="40">
        <v>11</v>
      </c>
      <c r="H357" s="43"/>
      <c r="I357" s="117" t="e">
        <f t="shared" si="47"/>
        <v>#DIV/0!</v>
      </c>
      <c r="J357" s="43"/>
      <c r="K357" s="44"/>
      <c r="L357" s="45"/>
      <c r="M357" s="43"/>
      <c r="N357" s="46"/>
      <c r="O357" s="46"/>
      <c r="P357" s="45"/>
      <c r="Q357" s="45"/>
      <c r="R357" s="45"/>
      <c r="S357" s="43"/>
      <c r="T357" s="43"/>
      <c r="U357" s="43"/>
      <c r="V357" s="43"/>
      <c r="W357" s="43"/>
      <c r="X357" s="43"/>
      <c r="Y357" s="43"/>
      <c r="Z357" s="43"/>
      <c r="AA357" s="43"/>
      <c r="AB357" s="43"/>
      <c r="AC357" s="43"/>
      <c r="AD357" s="43"/>
      <c r="AE357" s="48"/>
      <c r="AF357" s="48"/>
      <c r="AG357" s="48"/>
      <c r="AH357" s="50"/>
    </row>
    <row r="358" spans="1:34" ht="14.5">
      <c r="A358" s="40">
        <v>2010</v>
      </c>
      <c r="B358" s="41" t="s">
        <v>960</v>
      </c>
      <c r="C358" s="41" t="s">
        <v>961</v>
      </c>
      <c r="D358" s="41" t="s">
        <v>105</v>
      </c>
      <c r="E358" s="40">
        <v>11</v>
      </c>
      <c r="H358" s="43"/>
      <c r="I358" s="117" t="e">
        <f t="shared" si="47"/>
        <v>#DIV/0!</v>
      </c>
      <c r="J358" s="43"/>
      <c r="K358" s="44"/>
      <c r="L358" s="45"/>
      <c r="M358" s="43"/>
      <c r="N358" s="46"/>
      <c r="O358" s="46"/>
      <c r="P358" s="45"/>
      <c r="Q358" s="45"/>
      <c r="R358" s="45"/>
      <c r="S358" s="43"/>
      <c r="T358" s="43"/>
      <c r="U358" s="43"/>
      <c r="V358" s="43"/>
      <c r="W358" s="43"/>
      <c r="X358" s="43"/>
      <c r="Y358" s="43"/>
      <c r="Z358" s="43"/>
      <c r="AA358" s="43"/>
      <c r="AB358" s="43"/>
      <c r="AC358" s="43"/>
      <c r="AD358" s="43"/>
      <c r="AE358" s="48"/>
      <c r="AF358" s="48"/>
      <c r="AG358" s="48"/>
      <c r="AH358" s="50"/>
    </row>
    <row r="359" spans="1:34" ht="14.5">
      <c r="A359" s="40">
        <v>2011</v>
      </c>
      <c r="B359" s="41" t="s">
        <v>960</v>
      </c>
      <c r="C359" s="41" t="s">
        <v>961</v>
      </c>
      <c r="D359" s="41" t="s">
        <v>105</v>
      </c>
      <c r="E359" s="40">
        <v>11</v>
      </c>
      <c r="H359" s="43"/>
      <c r="I359" s="117" t="e">
        <f t="shared" si="47"/>
        <v>#DIV/0!</v>
      </c>
      <c r="J359" s="43"/>
      <c r="K359" s="44"/>
      <c r="L359" s="45"/>
      <c r="M359" s="43"/>
      <c r="N359" s="46"/>
      <c r="O359" s="46"/>
      <c r="P359" s="45"/>
      <c r="Q359" s="45"/>
      <c r="R359" s="45"/>
      <c r="S359" s="43"/>
      <c r="T359" s="43"/>
      <c r="U359" s="43"/>
      <c r="V359" s="43"/>
      <c r="W359" s="43"/>
      <c r="X359" s="43"/>
      <c r="Y359" s="43"/>
      <c r="Z359" s="43"/>
      <c r="AA359" s="43"/>
      <c r="AB359" s="43"/>
      <c r="AC359" s="43"/>
      <c r="AD359" s="43"/>
      <c r="AE359" s="48"/>
      <c r="AF359" s="48"/>
      <c r="AG359" s="48"/>
      <c r="AH359" s="50"/>
    </row>
    <row r="360" spans="1:34" ht="14.5">
      <c r="A360" s="40">
        <v>2012</v>
      </c>
      <c r="B360" s="41" t="s">
        <v>960</v>
      </c>
      <c r="C360" s="41" t="s">
        <v>961</v>
      </c>
      <c r="D360" s="41" t="s">
        <v>105</v>
      </c>
      <c r="E360" s="40">
        <v>11</v>
      </c>
      <c r="H360" s="43"/>
      <c r="I360" s="117" t="e">
        <f t="shared" si="47"/>
        <v>#DIV/0!</v>
      </c>
      <c r="J360" s="43"/>
      <c r="K360" s="44"/>
      <c r="L360" s="45"/>
      <c r="M360" s="43"/>
      <c r="N360" s="46"/>
      <c r="O360" s="46"/>
      <c r="P360" s="45"/>
      <c r="Q360" s="45"/>
      <c r="R360" s="45"/>
      <c r="S360" s="43"/>
      <c r="T360" s="43"/>
      <c r="U360" s="43"/>
      <c r="V360" s="43"/>
      <c r="W360" s="43"/>
      <c r="X360" s="43"/>
      <c r="Y360" s="43"/>
      <c r="Z360" s="43"/>
      <c r="AA360" s="43"/>
      <c r="AB360" s="43"/>
      <c r="AC360" s="43"/>
      <c r="AD360" s="43"/>
      <c r="AE360" s="48"/>
      <c r="AF360" s="48"/>
      <c r="AG360" s="48"/>
      <c r="AH360" s="50"/>
    </row>
    <row r="361" spans="1:34" ht="14.5">
      <c r="A361" s="40">
        <v>2013</v>
      </c>
      <c r="B361" s="41" t="s">
        <v>960</v>
      </c>
      <c r="C361" s="41" t="s">
        <v>961</v>
      </c>
      <c r="D361" s="41" t="s">
        <v>105</v>
      </c>
      <c r="E361" s="40">
        <v>11</v>
      </c>
      <c r="H361" s="43"/>
      <c r="I361" s="117" t="e">
        <f t="shared" si="47"/>
        <v>#DIV/0!</v>
      </c>
      <c r="J361" s="43"/>
      <c r="K361" s="44"/>
      <c r="L361" s="45"/>
      <c r="M361" s="43"/>
      <c r="N361" s="46"/>
      <c r="O361" s="46"/>
      <c r="P361" s="45"/>
      <c r="Q361" s="45"/>
      <c r="R361" s="45"/>
      <c r="S361" s="43"/>
      <c r="T361" s="43"/>
      <c r="U361" s="43"/>
      <c r="V361" s="43"/>
      <c r="W361" s="43"/>
      <c r="X361" s="43"/>
      <c r="Y361" s="43"/>
      <c r="Z361" s="43"/>
      <c r="AA361" s="43"/>
      <c r="AB361" s="43"/>
      <c r="AC361" s="43"/>
      <c r="AD361" s="43"/>
      <c r="AE361" s="48"/>
      <c r="AF361" s="48"/>
      <c r="AG361" s="48"/>
      <c r="AH361" s="50"/>
    </row>
    <row r="362" spans="1:34" ht="14.5">
      <c r="A362" s="40">
        <v>2014</v>
      </c>
      <c r="B362" s="41" t="s">
        <v>960</v>
      </c>
      <c r="C362" s="41" t="s">
        <v>961</v>
      </c>
      <c r="D362" s="41" t="s">
        <v>105</v>
      </c>
      <c r="E362" s="40">
        <v>11</v>
      </c>
      <c r="H362" s="43"/>
      <c r="I362" s="117" t="e">
        <f t="shared" si="47"/>
        <v>#DIV/0!</v>
      </c>
      <c r="J362" s="43"/>
      <c r="K362" s="44"/>
      <c r="L362" s="45"/>
      <c r="M362" s="43"/>
      <c r="N362" s="46"/>
      <c r="O362" s="46"/>
      <c r="P362" s="45"/>
      <c r="Q362" s="45"/>
      <c r="R362" s="45"/>
      <c r="S362" s="43"/>
      <c r="T362" s="43"/>
      <c r="U362" s="43"/>
      <c r="V362" s="43"/>
      <c r="W362" s="43"/>
      <c r="X362" s="43"/>
      <c r="Y362" s="43"/>
      <c r="Z362" s="43"/>
      <c r="AA362" s="43"/>
      <c r="AB362" s="43"/>
      <c r="AC362" s="43"/>
      <c r="AD362" s="43"/>
      <c r="AE362" s="48"/>
      <c r="AF362" s="48"/>
      <c r="AG362" s="48"/>
      <c r="AH362" s="50"/>
    </row>
    <row r="363" spans="1:34" ht="14.5">
      <c r="A363" s="40">
        <v>2015</v>
      </c>
      <c r="B363" s="41" t="s">
        <v>960</v>
      </c>
      <c r="C363" s="41" t="s">
        <v>961</v>
      </c>
      <c r="D363" s="41" t="s">
        <v>105</v>
      </c>
      <c r="E363" s="40">
        <v>11</v>
      </c>
      <c r="H363" s="43"/>
      <c r="I363" s="117" t="e">
        <f t="shared" si="47"/>
        <v>#DIV/0!</v>
      </c>
      <c r="J363" s="43"/>
      <c r="K363" s="44"/>
      <c r="L363" s="45"/>
      <c r="M363" s="43"/>
      <c r="N363" s="46"/>
      <c r="O363" s="46"/>
      <c r="P363" s="45"/>
      <c r="Q363" s="45"/>
      <c r="R363" s="45"/>
      <c r="S363" s="43"/>
      <c r="T363" s="43"/>
      <c r="U363" s="43"/>
      <c r="V363" s="43"/>
      <c r="W363" s="43"/>
      <c r="X363" s="43"/>
      <c r="Y363" s="43"/>
      <c r="Z363" s="43"/>
      <c r="AA363" s="43"/>
      <c r="AB363" s="43"/>
      <c r="AC363" s="43"/>
      <c r="AD363" s="43"/>
      <c r="AE363" s="48"/>
      <c r="AF363" s="48"/>
      <c r="AG363" s="48"/>
      <c r="AH363" s="50"/>
    </row>
    <row r="364" spans="1:34" ht="14.5">
      <c r="A364" s="40">
        <v>2016</v>
      </c>
      <c r="B364" s="41" t="s">
        <v>960</v>
      </c>
      <c r="C364" s="41" t="s">
        <v>961</v>
      </c>
      <c r="D364" s="41" t="s">
        <v>105</v>
      </c>
      <c r="E364" s="40">
        <v>11</v>
      </c>
      <c r="H364" s="43"/>
      <c r="I364" s="117" t="e">
        <f t="shared" si="47"/>
        <v>#DIV/0!</v>
      </c>
      <c r="J364" s="43"/>
      <c r="K364" s="44"/>
      <c r="L364" s="45"/>
      <c r="M364" s="43"/>
      <c r="N364" s="46"/>
      <c r="O364" s="46"/>
      <c r="P364" s="45"/>
      <c r="Q364" s="45"/>
      <c r="R364" s="45"/>
      <c r="S364" s="43"/>
      <c r="T364" s="43"/>
      <c r="U364" s="43"/>
      <c r="V364" s="43"/>
      <c r="W364" s="43"/>
      <c r="X364" s="43"/>
      <c r="Y364" s="43"/>
      <c r="Z364" s="43"/>
      <c r="AA364" s="43"/>
      <c r="AB364" s="43"/>
      <c r="AC364" s="43"/>
      <c r="AD364" s="43"/>
      <c r="AE364" s="48"/>
      <c r="AF364" s="48"/>
      <c r="AG364" s="48"/>
      <c r="AH364" s="50"/>
    </row>
    <row r="365" spans="1:34" ht="14.5">
      <c r="A365" s="40">
        <v>2017</v>
      </c>
      <c r="B365" s="41" t="s">
        <v>960</v>
      </c>
      <c r="C365" s="41" t="s">
        <v>961</v>
      </c>
      <c r="D365" s="41" t="s">
        <v>105</v>
      </c>
      <c r="E365" s="40">
        <v>11</v>
      </c>
      <c r="H365" s="43"/>
      <c r="I365" s="117" t="e">
        <f t="shared" si="47"/>
        <v>#DIV/0!</v>
      </c>
      <c r="J365" s="43"/>
      <c r="K365" s="44"/>
      <c r="L365" s="45"/>
      <c r="M365" s="43"/>
      <c r="N365" s="46"/>
      <c r="O365" s="46"/>
      <c r="P365" s="45"/>
      <c r="Q365" s="45"/>
      <c r="R365" s="45"/>
      <c r="S365" s="43"/>
      <c r="T365" s="43"/>
      <c r="U365" s="43"/>
      <c r="V365" s="43"/>
      <c r="W365" s="43"/>
      <c r="X365" s="43"/>
      <c r="Y365" s="43"/>
      <c r="Z365" s="43"/>
      <c r="AA365" s="43"/>
      <c r="AB365" s="43"/>
      <c r="AC365" s="43"/>
      <c r="AD365" s="43"/>
      <c r="AE365" s="48"/>
      <c r="AF365" s="48"/>
      <c r="AG365" s="48"/>
      <c r="AH365" s="50"/>
    </row>
    <row r="366" spans="1:34" ht="14.5">
      <c r="A366" s="40">
        <v>2004</v>
      </c>
      <c r="B366" s="41" t="s">
        <v>968</v>
      </c>
      <c r="C366" s="41" t="s">
        <v>969</v>
      </c>
      <c r="D366" s="41" t="s">
        <v>363</v>
      </c>
      <c r="E366" s="40">
        <v>12</v>
      </c>
      <c r="H366" s="43"/>
      <c r="I366" s="117" t="e">
        <f t="shared" si="47"/>
        <v>#DIV/0!</v>
      </c>
      <c r="J366" s="43"/>
      <c r="K366" s="44"/>
      <c r="L366" s="45"/>
      <c r="M366" s="43"/>
      <c r="N366" s="46"/>
      <c r="O366" s="46"/>
      <c r="P366" s="45"/>
      <c r="Q366" s="45"/>
      <c r="R366" s="45"/>
      <c r="S366" s="43"/>
      <c r="T366" s="43"/>
      <c r="U366" s="43"/>
      <c r="V366" s="43"/>
      <c r="W366" s="43"/>
      <c r="X366" s="43"/>
      <c r="Y366" s="43"/>
      <c r="Z366" s="43"/>
      <c r="AA366" s="43"/>
      <c r="AB366" s="43"/>
      <c r="AC366" s="43"/>
      <c r="AD366" s="43"/>
      <c r="AE366" s="48"/>
      <c r="AF366" s="48"/>
      <c r="AG366" s="48"/>
      <c r="AH366" s="50"/>
    </row>
    <row r="367" spans="1:34" ht="14.5">
      <c r="A367" s="40">
        <v>2005</v>
      </c>
      <c r="B367" s="41" t="s">
        <v>968</v>
      </c>
      <c r="C367" s="41" t="s">
        <v>969</v>
      </c>
      <c r="D367" s="41" t="s">
        <v>363</v>
      </c>
      <c r="E367" s="40">
        <v>12</v>
      </c>
      <c r="H367" s="43"/>
      <c r="I367" s="117" t="e">
        <f t="shared" si="47"/>
        <v>#DIV/0!</v>
      </c>
      <c r="J367" s="43"/>
      <c r="K367" s="44"/>
      <c r="L367" s="45"/>
      <c r="M367" s="43"/>
      <c r="N367" s="46"/>
      <c r="O367" s="46"/>
      <c r="P367" s="45"/>
      <c r="Q367" s="45"/>
      <c r="R367" s="45"/>
      <c r="S367" s="43"/>
      <c r="T367" s="43"/>
      <c r="U367" s="43"/>
      <c r="V367" s="43"/>
      <c r="W367" s="43"/>
      <c r="X367" s="43"/>
      <c r="Y367" s="43"/>
      <c r="Z367" s="43"/>
      <c r="AA367" s="43"/>
      <c r="AB367" s="43"/>
      <c r="AC367" s="43"/>
      <c r="AD367" s="43"/>
      <c r="AE367" s="48"/>
      <c r="AF367" s="48"/>
      <c r="AG367" s="48"/>
      <c r="AH367" s="50"/>
    </row>
    <row r="368" spans="1:34" ht="14.5">
      <c r="A368" s="40">
        <v>2006</v>
      </c>
      <c r="B368" s="41" t="s">
        <v>968</v>
      </c>
      <c r="C368" s="41" t="s">
        <v>969</v>
      </c>
      <c r="D368" s="41" t="s">
        <v>363</v>
      </c>
      <c r="E368" s="40">
        <v>12</v>
      </c>
      <c r="H368" s="43"/>
      <c r="I368" s="117" t="e">
        <f t="shared" si="47"/>
        <v>#DIV/0!</v>
      </c>
      <c r="J368" s="43"/>
      <c r="K368" s="44"/>
      <c r="L368" s="45"/>
      <c r="M368" s="43"/>
      <c r="N368" s="46"/>
      <c r="O368" s="46"/>
      <c r="P368" s="45"/>
      <c r="Q368" s="45"/>
      <c r="R368" s="45"/>
      <c r="S368" s="43"/>
      <c r="T368" s="43"/>
      <c r="U368" s="43"/>
      <c r="V368" s="43"/>
      <c r="W368" s="43"/>
      <c r="X368" s="43"/>
      <c r="Y368" s="43"/>
      <c r="Z368" s="43"/>
      <c r="AA368" s="43"/>
      <c r="AB368" s="43"/>
      <c r="AC368" s="43"/>
      <c r="AD368" s="43"/>
      <c r="AE368" s="48"/>
      <c r="AF368" s="48"/>
      <c r="AG368" s="48"/>
      <c r="AH368" s="50"/>
    </row>
    <row r="369" spans="1:34" ht="14.5">
      <c r="A369" s="40">
        <v>2007</v>
      </c>
      <c r="B369" s="41" t="s">
        <v>968</v>
      </c>
      <c r="C369" s="41" t="s">
        <v>969</v>
      </c>
      <c r="D369" s="41" t="s">
        <v>363</v>
      </c>
      <c r="E369" s="40">
        <v>12</v>
      </c>
      <c r="H369" s="43"/>
      <c r="I369" s="117" t="e">
        <f t="shared" si="47"/>
        <v>#DIV/0!</v>
      </c>
      <c r="J369" s="43"/>
      <c r="K369" s="44"/>
      <c r="L369" s="45"/>
      <c r="M369" s="43"/>
      <c r="N369" s="46"/>
      <c r="O369" s="46"/>
      <c r="P369" s="45"/>
      <c r="Q369" s="45"/>
      <c r="R369" s="45"/>
      <c r="S369" s="43"/>
      <c r="T369" s="43"/>
      <c r="U369" s="43"/>
      <c r="V369" s="43"/>
      <c r="W369" s="43"/>
      <c r="X369" s="43"/>
      <c r="Y369" s="43"/>
      <c r="Z369" s="43"/>
      <c r="AA369" s="43"/>
      <c r="AB369" s="43"/>
      <c r="AC369" s="43"/>
      <c r="AD369" s="43"/>
      <c r="AE369" s="48"/>
      <c r="AF369" s="48"/>
      <c r="AG369" s="48"/>
      <c r="AH369" s="50"/>
    </row>
    <row r="370" spans="1:34" ht="14.5">
      <c r="A370" s="40">
        <v>2008</v>
      </c>
      <c r="B370" s="41" t="s">
        <v>968</v>
      </c>
      <c r="C370" s="41" t="s">
        <v>969</v>
      </c>
      <c r="D370" s="41" t="s">
        <v>363</v>
      </c>
      <c r="E370" s="40">
        <v>12</v>
      </c>
      <c r="H370" s="43"/>
      <c r="I370" s="117" t="e">
        <f t="shared" si="47"/>
        <v>#DIV/0!</v>
      </c>
      <c r="J370" s="43"/>
      <c r="K370" s="44"/>
      <c r="L370" s="45"/>
      <c r="M370" s="43"/>
      <c r="N370" s="46"/>
      <c r="O370" s="46"/>
      <c r="P370" s="45"/>
      <c r="Q370" s="45"/>
      <c r="R370" s="45"/>
      <c r="S370" s="43"/>
      <c r="T370" s="43"/>
      <c r="U370" s="43"/>
      <c r="V370" s="43"/>
      <c r="W370" s="43"/>
      <c r="X370" s="43"/>
      <c r="Y370" s="43"/>
      <c r="Z370" s="43"/>
      <c r="AA370" s="43"/>
      <c r="AB370" s="43"/>
      <c r="AC370" s="43"/>
      <c r="AD370" s="43"/>
      <c r="AE370" s="48"/>
      <c r="AF370" s="48"/>
      <c r="AG370" s="48"/>
      <c r="AH370" s="50"/>
    </row>
    <row r="371" spans="1:34" ht="14.5">
      <c r="A371" s="40">
        <v>2009</v>
      </c>
      <c r="B371" s="41" t="s">
        <v>968</v>
      </c>
      <c r="C371" s="41" t="s">
        <v>969</v>
      </c>
      <c r="D371" s="41" t="s">
        <v>363</v>
      </c>
      <c r="E371" s="40">
        <v>12</v>
      </c>
      <c r="H371" s="43"/>
      <c r="I371" s="117" t="e">
        <f t="shared" si="47"/>
        <v>#DIV/0!</v>
      </c>
      <c r="J371" s="43"/>
      <c r="K371" s="44"/>
      <c r="L371" s="45"/>
      <c r="M371" s="43"/>
      <c r="N371" s="46"/>
      <c r="O371" s="46"/>
      <c r="P371" s="45"/>
      <c r="Q371" s="45"/>
      <c r="R371" s="45"/>
      <c r="S371" s="43"/>
      <c r="T371" s="43"/>
      <c r="U371" s="43"/>
      <c r="V371" s="43"/>
      <c r="W371" s="43"/>
      <c r="X371" s="43"/>
      <c r="Y371" s="43"/>
      <c r="Z371" s="43"/>
      <c r="AA371" s="43"/>
      <c r="AB371" s="43"/>
      <c r="AC371" s="43"/>
      <c r="AD371" s="43"/>
      <c r="AE371" s="48"/>
      <c r="AF371" s="48"/>
      <c r="AG371" s="48"/>
      <c r="AH371" s="50"/>
    </row>
    <row r="372" spans="1:34" ht="14.5">
      <c r="A372" s="40">
        <v>2010</v>
      </c>
      <c r="B372" s="41" t="s">
        <v>968</v>
      </c>
      <c r="C372" s="41" t="s">
        <v>969</v>
      </c>
      <c r="D372" s="41" t="s">
        <v>363</v>
      </c>
      <c r="E372" s="40">
        <v>12</v>
      </c>
      <c r="H372" s="43"/>
      <c r="I372" s="117" t="e">
        <f t="shared" si="47"/>
        <v>#DIV/0!</v>
      </c>
      <c r="J372" s="43"/>
      <c r="K372" s="44"/>
      <c r="L372" s="45"/>
      <c r="M372" s="43"/>
      <c r="N372" s="46"/>
      <c r="O372" s="46"/>
      <c r="P372" s="45"/>
      <c r="Q372" s="45"/>
      <c r="R372" s="45"/>
      <c r="S372" s="43"/>
      <c r="T372" s="43"/>
      <c r="U372" s="43"/>
      <c r="V372" s="43"/>
      <c r="W372" s="43"/>
      <c r="X372" s="43"/>
      <c r="Y372" s="43"/>
      <c r="Z372" s="43"/>
      <c r="AA372" s="43"/>
      <c r="AB372" s="43"/>
      <c r="AC372" s="43"/>
      <c r="AD372" s="43"/>
      <c r="AE372" s="48"/>
      <c r="AF372" s="48"/>
      <c r="AG372" s="48"/>
      <c r="AH372" s="50"/>
    </row>
    <row r="373" spans="1:34" ht="14.5">
      <c r="A373" s="40">
        <v>2011</v>
      </c>
      <c r="B373" s="41" t="s">
        <v>968</v>
      </c>
      <c r="C373" s="41" t="s">
        <v>969</v>
      </c>
      <c r="D373" s="41" t="s">
        <v>363</v>
      </c>
      <c r="E373" s="40">
        <v>12</v>
      </c>
      <c r="H373" s="43"/>
      <c r="I373" s="117" t="e">
        <f t="shared" si="47"/>
        <v>#DIV/0!</v>
      </c>
      <c r="J373" s="43"/>
      <c r="K373" s="44"/>
      <c r="L373" s="45"/>
      <c r="M373" s="43"/>
      <c r="N373" s="46"/>
      <c r="O373" s="46"/>
      <c r="P373" s="45"/>
      <c r="Q373" s="45"/>
      <c r="R373" s="45"/>
      <c r="S373" s="43"/>
      <c r="T373" s="43"/>
      <c r="U373" s="43"/>
      <c r="V373" s="43"/>
      <c r="W373" s="43"/>
      <c r="X373" s="43"/>
      <c r="Y373" s="43"/>
      <c r="Z373" s="43"/>
      <c r="AA373" s="43"/>
      <c r="AB373" s="43"/>
      <c r="AC373" s="43"/>
      <c r="AD373" s="43"/>
      <c r="AE373" s="48"/>
      <c r="AF373" s="48"/>
      <c r="AG373" s="48"/>
      <c r="AH373" s="50"/>
    </row>
    <row r="374" spans="1:34" ht="14.5">
      <c r="A374" s="40">
        <v>2012</v>
      </c>
      <c r="B374" s="41" t="s">
        <v>968</v>
      </c>
      <c r="C374" s="41" t="s">
        <v>969</v>
      </c>
      <c r="D374" s="41" t="s">
        <v>363</v>
      </c>
      <c r="E374" s="40">
        <v>12</v>
      </c>
      <c r="H374" s="43"/>
      <c r="I374" s="117" t="e">
        <f t="shared" si="47"/>
        <v>#DIV/0!</v>
      </c>
      <c r="J374" s="43"/>
      <c r="K374" s="44"/>
      <c r="L374" s="45"/>
      <c r="M374" s="43"/>
      <c r="N374" s="46"/>
      <c r="O374" s="46"/>
      <c r="P374" s="45"/>
      <c r="Q374" s="45"/>
      <c r="R374" s="45"/>
      <c r="S374" s="43"/>
      <c r="T374" s="43"/>
      <c r="U374" s="43"/>
      <c r="V374" s="43"/>
      <c r="W374" s="43"/>
      <c r="X374" s="43"/>
      <c r="Y374" s="43"/>
      <c r="Z374" s="43"/>
      <c r="AA374" s="43"/>
      <c r="AB374" s="43"/>
      <c r="AC374" s="43"/>
      <c r="AD374" s="43"/>
      <c r="AE374" s="48"/>
      <c r="AF374" s="48"/>
      <c r="AG374" s="48"/>
      <c r="AH374" s="50"/>
    </row>
    <row r="375" spans="1:34" ht="14.5">
      <c r="A375" s="40">
        <v>2013</v>
      </c>
      <c r="B375" s="41" t="s">
        <v>968</v>
      </c>
      <c r="C375" s="41" t="s">
        <v>969</v>
      </c>
      <c r="D375" s="41" t="s">
        <v>363</v>
      </c>
      <c r="E375" s="40">
        <v>12</v>
      </c>
      <c r="H375" s="43"/>
      <c r="I375" s="117" t="e">
        <f t="shared" si="47"/>
        <v>#DIV/0!</v>
      </c>
      <c r="J375" s="43"/>
      <c r="K375" s="44"/>
      <c r="L375" s="45"/>
      <c r="M375" s="43"/>
      <c r="N375" s="46"/>
      <c r="O375" s="46"/>
      <c r="P375" s="45"/>
      <c r="Q375" s="45"/>
      <c r="R375" s="45"/>
      <c r="S375" s="43"/>
      <c r="T375" s="43"/>
      <c r="U375" s="43"/>
      <c r="V375" s="43"/>
      <c r="W375" s="43"/>
      <c r="X375" s="43"/>
      <c r="Y375" s="43"/>
      <c r="Z375" s="43"/>
      <c r="AA375" s="43"/>
      <c r="AB375" s="43"/>
      <c r="AC375" s="43"/>
      <c r="AD375" s="43"/>
      <c r="AE375" s="48"/>
      <c r="AF375" s="48"/>
      <c r="AG375" s="48"/>
      <c r="AH375" s="50"/>
    </row>
    <row r="376" spans="1:34" ht="14.5">
      <c r="A376" s="40">
        <v>2014</v>
      </c>
      <c r="B376" s="41" t="s">
        <v>968</v>
      </c>
      <c r="C376" s="41" t="s">
        <v>969</v>
      </c>
      <c r="D376" s="41" t="s">
        <v>363</v>
      </c>
      <c r="E376" s="40">
        <v>12</v>
      </c>
      <c r="H376" s="43"/>
      <c r="I376" s="117" t="e">
        <f t="shared" si="47"/>
        <v>#DIV/0!</v>
      </c>
      <c r="J376" s="43"/>
      <c r="K376" s="44"/>
      <c r="L376" s="45"/>
      <c r="M376" s="43"/>
      <c r="N376" s="46"/>
      <c r="O376" s="46"/>
      <c r="P376" s="45"/>
      <c r="Q376" s="45"/>
      <c r="R376" s="45"/>
      <c r="S376" s="43"/>
      <c r="T376" s="43"/>
      <c r="U376" s="43"/>
      <c r="V376" s="43"/>
      <c r="W376" s="43"/>
      <c r="X376" s="43"/>
      <c r="Y376" s="43"/>
      <c r="Z376" s="43"/>
      <c r="AA376" s="43"/>
      <c r="AB376" s="43"/>
      <c r="AC376" s="43"/>
      <c r="AD376" s="43"/>
      <c r="AE376" s="48"/>
      <c r="AF376" s="48"/>
      <c r="AG376" s="48"/>
      <c r="AH376" s="50"/>
    </row>
    <row r="377" spans="1:34" ht="14.5">
      <c r="A377" s="40">
        <v>2015</v>
      </c>
      <c r="B377" s="41" t="s">
        <v>968</v>
      </c>
      <c r="C377" s="41" t="s">
        <v>969</v>
      </c>
      <c r="D377" s="41" t="s">
        <v>105</v>
      </c>
      <c r="E377" s="40">
        <v>12</v>
      </c>
      <c r="H377" s="43"/>
      <c r="I377" s="117" t="e">
        <f t="shared" si="47"/>
        <v>#DIV/0!</v>
      </c>
      <c r="J377" s="43"/>
      <c r="K377" s="44"/>
      <c r="L377" s="45"/>
      <c r="M377" s="43"/>
      <c r="N377" s="46"/>
      <c r="O377" s="46"/>
      <c r="P377" s="45"/>
      <c r="Q377" s="45"/>
      <c r="R377" s="45"/>
      <c r="S377" s="43"/>
      <c r="T377" s="43"/>
      <c r="U377" s="43"/>
      <c r="V377" s="43"/>
      <c r="W377" s="43"/>
      <c r="X377" s="43"/>
      <c r="Y377" s="43"/>
      <c r="Z377" s="43"/>
      <c r="AA377" s="43"/>
      <c r="AB377" s="43"/>
      <c r="AC377" s="43"/>
      <c r="AD377" s="43"/>
      <c r="AE377" s="48"/>
      <c r="AF377" s="48"/>
      <c r="AG377" s="48"/>
      <c r="AH377" s="50"/>
    </row>
    <row r="378" spans="1:34" ht="14.5">
      <c r="A378" s="40">
        <v>2016</v>
      </c>
      <c r="B378" s="41" t="s">
        <v>968</v>
      </c>
      <c r="C378" s="41" t="s">
        <v>969</v>
      </c>
      <c r="D378" s="41" t="s">
        <v>105</v>
      </c>
      <c r="E378" s="40">
        <v>12</v>
      </c>
      <c r="H378" s="43"/>
      <c r="I378" s="117" t="e">
        <f t="shared" si="47"/>
        <v>#DIV/0!</v>
      </c>
      <c r="J378" s="43"/>
      <c r="K378" s="44"/>
      <c r="L378" s="45"/>
      <c r="M378" s="43"/>
      <c r="N378" s="46"/>
      <c r="O378" s="46"/>
      <c r="P378" s="45"/>
      <c r="Q378" s="45"/>
      <c r="R378" s="45"/>
      <c r="S378" s="43"/>
      <c r="T378" s="43"/>
      <c r="U378" s="43"/>
      <c r="V378" s="43"/>
      <c r="W378" s="43"/>
      <c r="X378" s="43"/>
      <c r="Y378" s="43"/>
      <c r="Z378" s="43"/>
      <c r="AA378" s="43"/>
      <c r="AB378" s="43"/>
      <c r="AC378" s="43"/>
      <c r="AD378" s="43"/>
      <c r="AE378" s="48"/>
      <c r="AF378" s="48"/>
      <c r="AG378" s="48"/>
      <c r="AH378" s="50"/>
    </row>
    <row r="379" spans="1:34" ht="14.5">
      <c r="A379" s="40">
        <v>2017</v>
      </c>
      <c r="B379" s="41" t="s">
        <v>968</v>
      </c>
      <c r="C379" s="41" t="s">
        <v>969</v>
      </c>
      <c r="D379" s="41" t="s">
        <v>105</v>
      </c>
      <c r="E379" s="40">
        <v>12</v>
      </c>
      <c r="H379" s="43"/>
      <c r="I379" s="117" t="e">
        <f t="shared" si="47"/>
        <v>#DIV/0!</v>
      </c>
      <c r="J379" s="43"/>
      <c r="K379" s="44"/>
      <c r="L379" s="45"/>
      <c r="M379" s="43"/>
      <c r="N379" s="46"/>
      <c r="O379" s="46"/>
      <c r="P379" s="45"/>
      <c r="Q379" s="45"/>
      <c r="R379" s="45"/>
      <c r="S379" s="43"/>
      <c r="T379" s="43"/>
      <c r="U379" s="43"/>
      <c r="V379" s="43"/>
      <c r="W379" s="43"/>
      <c r="X379" s="43"/>
      <c r="Y379" s="43"/>
      <c r="Z379" s="43"/>
      <c r="AA379" s="43"/>
      <c r="AB379" s="43"/>
      <c r="AC379" s="43"/>
      <c r="AD379" s="43"/>
      <c r="AE379" s="48"/>
      <c r="AF379" s="48"/>
      <c r="AG379" s="48"/>
      <c r="AH379" s="50"/>
    </row>
    <row r="380" spans="1:34" ht="14.5">
      <c r="A380" s="40">
        <v>2003</v>
      </c>
      <c r="B380" s="41" t="s">
        <v>978</v>
      </c>
      <c r="C380" s="41" t="s">
        <v>979</v>
      </c>
      <c r="D380" s="41" t="s">
        <v>363</v>
      </c>
      <c r="E380" s="40">
        <v>11</v>
      </c>
      <c r="H380" s="43"/>
      <c r="I380" s="117" t="e">
        <f t="shared" si="47"/>
        <v>#DIV/0!</v>
      </c>
      <c r="J380" s="43"/>
      <c r="K380" s="44"/>
      <c r="L380" s="45"/>
      <c r="M380" s="43"/>
      <c r="N380" s="46"/>
      <c r="O380" s="46"/>
      <c r="P380" s="45"/>
      <c r="Q380" s="45"/>
      <c r="R380" s="45"/>
      <c r="S380" s="43"/>
      <c r="T380" s="43"/>
      <c r="U380" s="43"/>
      <c r="V380" s="43"/>
      <c r="W380" s="43"/>
      <c r="X380" s="43"/>
      <c r="Y380" s="43"/>
      <c r="Z380" s="43"/>
      <c r="AA380" s="43"/>
      <c r="AB380" s="43"/>
      <c r="AC380" s="43"/>
      <c r="AD380" s="43"/>
      <c r="AE380" s="48"/>
      <c r="AF380" s="48"/>
      <c r="AG380" s="48"/>
      <c r="AH380" s="50"/>
    </row>
    <row r="381" spans="1:34" ht="14.5">
      <c r="A381" s="40">
        <v>2004</v>
      </c>
      <c r="B381" s="41" t="s">
        <v>978</v>
      </c>
      <c r="C381" s="41" t="s">
        <v>979</v>
      </c>
      <c r="D381" s="41" t="s">
        <v>363</v>
      </c>
      <c r="E381" s="40">
        <v>11</v>
      </c>
      <c r="H381" s="43"/>
      <c r="I381" s="117" t="e">
        <f t="shared" si="47"/>
        <v>#DIV/0!</v>
      </c>
      <c r="J381" s="43"/>
      <c r="K381" s="44"/>
      <c r="L381" s="45"/>
      <c r="M381" s="43"/>
      <c r="N381" s="46"/>
      <c r="O381" s="46"/>
      <c r="P381" s="45"/>
      <c r="Q381" s="45"/>
      <c r="R381" s="45"/>
      <c r="S381" s="43"/>
      <c r="T381" s="43"/>
      <c r="U381" s="43"/>
      <c r="V381" s="43"/>
      <c r="W381" s="43"/>
      <c r="X381" s="43"/>
      <c r="Y381" s="43"/>
      <c r="Z381" s="43"/>
      <c r="AA381" s="43"/>
      <c r="AB381" s="43"/>
      <c r="AC381" s="43"/>
      <c r="AD381" s="43"/>
      <c r="AE381" s="48"/>
      <c r="AF381" s="48"/>
      <c r="AG381" s="48"/>
      <c r="AH381" s="50"/>
    </row>
    <row r="382" spans="1:34" ht="14.5">
      <c r="A382" s="40">
        <v>2005</v>
      </c>
      <c r="B382" s="41" t="s">
        <v>978</v>
      </c>
      <c r="C382" s="41" t="s">
        <v>979</v>
      </c>
      <c r="D382" s="41" t="s">
        <v>363</v>
      </c>
      <c r="E382" s="40">
        <v>11</v>
      </c>
      <c r="H382" s="43"/>
      <c r="I382" s="117" t="e">
        <f t="shared" si="47"/>
        <v>#DIV/0!</v>
      </c>
      <c r="J382" s="43"/>
      <c r="K382" s="44"/>
      <c r="L382" s="45"/>
      <c r="M382" s="43"/>
      <c r="N382" s="46"/>
      <c r="O382" s="46"/>
      <c r="P382" s="45"/>
      <c r="Q382" s="45"/>
      <c r="R382" s="45"/>
      <c r="S382" s="43"/>
      <c r="T382" s="43"/>
      <c r="U382" s="43"/>
      <c r="V382" s="43"/>
      <c r="W382" s="43"/>
      <c r="X382" s="43"/>
      <c r="Y382" s="43"/>
      <c r="Z382" s="43"/>
      <c r="AA382" s="43"/>
      <c r="AB382" s="43"/>
      <c r="AC382" s="43"/>
      <c r="AD382" s="43"/>
      <c r="AE382" s="48"/>
      <c r="AF382" s="48"/>
      <c r="AG382" s="48"/>
      <c r="AH382" s="50"/>
    </row>
    <row r="383" spans="1:34" ht="14.5">
      <c r="A383" s="40">
        <v>2006</v>
      </c>
      <c r="B383" s="41" t="s">
        <v>978</v>
      </c>
      <c r="C383" s="41" t="s">
        <v>979</v>
      </c>
      <c r="D383" s="41" t="s">
        <v>363</v>
      </c>
      <c r="E383" s="40">
        <v>11</v>
      </c>
      <c r="H383" s="43"/>
      <c r="I383" s="117" t="e">
        <f t="shared" si="47"/>
        <v>#DIV/0!</v>
      </c>
      <c r="J383" s="43"/>
      <c r="K383" s="44"/>
      <c r="L383" s="45"/>
      <c r="M383" s="43"/>
      <c r="N383" s="46"/>
      <c r="O383" s="46"/>
      <c r="P383" s="45"/>
      <c r="Q383" s="45"/>
      <c r="R383" s="45"/>
      <c r="S383" s="43"/>
      <c r="T383" s="43"/>
      <c r="U383" s="43"/>
      <c r="V383" s="43"/>
      <c r="W383" s="43"/>
      <c r="X383" s="43"/>
      <c r="Y383" s="43"/>
      <c r="Z383" s="43"/>
      <c r="AA383" s="43"/>
      <c r="AB383" s="43"/>
      <c r="AC383" s="43"/>
      <c r="AD383" s="43"/>
      <c r="AE383" s="48"/>
      <c r="AF383" s="48"/>
      <c r="AG383" s="48"/>
      <c r="AH383" s="50"/>
    </row>
    <row r="384" spans="1:34" ht="14.5">
      <c r="A384" s="40">
        <v>2007</v>
      </c>
      <c r="B384" s="41" t="s">
        <v>978</v>
      </c>
      <c r="C384" s="41" t="s">
        <v>979</v>
      </c>
      <c r="D384" s="41" t="s">
        <v>105</v>
      </c>
      <c r="E384" s="40">
        <v>11</v>
      </c>
      <c r="H384" s="43"/>
      <c r="I384" s="117" t="e">
        <f t="shared" si="47"/>
        <v>#DIV/0!</v>
      </c>
      <c r="J384" s="43"/>
      <c r="K384" s="44"/>
      <c r="L384" s="45"/>
      <c r="M384" s="43"/>
      <c r="N384" s="46"/>
      <c r="O384" s="46"/>
      <c r="P384" s="45"/>
      <c r="Q384" s="45"/>
      <c r="R384" s="45"/>
      <c r="S384" s="43"/>
      <c r="T384" s="43"/>
      <c r="U384" s="43"/>
      <c r="V384" s="43"/>
      <c r="W384" s="43"/>
      <c r="X384" s="43"/>
      <c r="Y384" s="43"/>
      <c r="Z384" s="43"/>
      <c r="AA384" s="43"/>
      <c r="AB384" s="43"/>
      <c r="AC384" s="43"/>
      <c r="AD384" s="43"/>
      <c r="AE384" s="48"/>
      <c r="AF384" s="48"/>
      <c r="AG384" s="48"/>
      <c r="AH384" s="50"/>
    </row>
    <row r="385" spans="1:34" ht="14.5">
      <c r="A385" s="40">
        <v>2008</v>
      </c>
      <c r="B385" s="41" t="s">
        <v>978</v>
      </c>
      <c r="C385" s="41" t="s">
        <v>979</v>
      </c>
      <c r="D385" s="41" t="s">
        <v>105</v>
      </c>
      <c r="E385" s="40">
        <v>11</v>
      </c>
      <c r="H385" s="43"/>
      <c r="I385" s="117" t="e">
        <f t="shared" si="47"/>
        <v>#DIV/0!</v>
      </c>
      <c r="J385" s="43"/>
      <c r="K385" s="44"/>
      <c r="L385" s="45"/>
      <c r="M385" s="43"/>
      <c r="N385" s="46"/>
      <c r="O385" s="46"/>
      <c r="P385" s="45"/>
      <c r="Q385" s="45"/>
      <c r="R385" s="45"/>
      <c r="S385" s="43"/>
      <c r="T385" s="43"/>
      <c r="U385" s="43"/>
      <c r="V385" s="43"/>
      <c r="W385" s="43"/>
      <c r="X385" s="43"/>
      <c r="Y385" s="43"/>
      <c r="Z385" s="43"/>
      <c r="AA385" s="43"/>
      <c r="AB385" s="43"/>
      <c r="AC385" s="43"/>
      <c r="AD385" s="43"/>
      <c r="AE385" s="48"/>
      <c r="AF385" s="48"/>
      <c r="AG385" s="48"/>
      <c r="AH385" s="50"/>
    </row>
    <row r="386" spans="1:34" ht="14.5">
      <c r="A386" s="40">
        <v>2009</v>
      </c>
      <c r="B386" s="41" t="s">
        <v>978</v>
      </c>
      <c r="C386" s="41" t="s">
        <v>979</v>
      </c>
      <c r="D386" s="41" t="s">
        <v>105</v>
      </c>
      <c r="E386" s="40">
        <v>11</v>
      </c>
      <c r="H386" s="43"/>
      <c r="I386" s="117" t="e">
        <f t="shared" si="47"/>
        <v>#DIV/0!</v>
      </c>
      <c r="J386" s="43"/>
      <c r="K386" s="44"/>
      <c r="L386" s="45"/>
      <c r="M386" s="43"/>
      <c r="N386" s="46"/>
      <c r="O386" s="46"/>
      <c r="P386" s="45"/>
      <c r="Q386" s="45"/>
      <c r="R386" s="45"/>
      <c r="S386" s="43"/>
      <c r="T386" s="43"/>
      <c r="U386" s="43"/>
      <c r="V386" s="43"/>
      <c r="W386" s="43"/>
      <c r="X386" s="43"/>
      <c r="Y386" s="43"/>
      <c r="Z386" s="43"/>
      <c r="AA386" s="43"/>
      <c r="AB386" s="43"/>
      <c r="AC386" s="43"/>
      <c r="AD386" s="43"/>
      <c r="AE386" s="48"/>
      <c r="AF386" s="48"/>
      <c r="AG386" s="48"/>
      <c r="AH386" s="50"/>
    </row>
    <row r="387" spans="1:34" ht="14.5">
      <c r="A387" s="40">
        <v>2010</v>
      </c>
      <c r="B387" s="41" t="s">
        <v>978</v>
      </c>
      <c r="C387" s="41" t="s">
        <v>979</v>
      </c>
      <c r="D387" s="41" t="s">
        <v>105</v>
      </c>
      <c r="E387" s="40">
        <v>11</v>
      </c>
      <c r="H387" s="43"/>
      <c r="I387" s="117" t="e">
        <f t="shared" si="47"/>
        <v>#DIV/0!</v>
      </c>
      <c r="J387" s="43"/>
      <c r="K387" s="44"/>
      <c r="L387" s="45"/>
      <c r="M387" s="43"/>
      <c r="N387" s="46"/>
      <c r="O387" s="46"/>
      <c r="P387" s="45"/>
      <c r="Q387" s="45"/>
      <c r="R387" s="45"/>
      <c r="S387" s="43"/>
      <c r="T387" s="43"/>
      <c r="U387" s="43"/>
      <c r="V387" s="43"/>
      <c r="W387" s="43"/>
      <c r="X387" s="43"/>
      <c r="Y387" s="43"/>
      <c r="Z387" s="43"/>
      <c r="AA387" s="43"/>
      <c r="AB387" s="43"/>
      <c r="AC387" s="43"/>
      <c r="AD387" s="43"/>
      <c r="AE387" s="48"/>
      <c r="AF387" s="48"/>
      <c r="AG387" s="48"/>
      <c r="AH387" s="50"/>
    </row>
    <row r="388" spans="1:34" ht="14.5">
      <c r="A388" s="40">
        <v>2011</v>
      </c>
      <c r="B388" s="41" t="s">
        <v>978</v>
      </c>
      <c r="C388" s="41" t="s">
        <v>979</v>
      </c>
      <c r="D388" s="41" t="s">
        <v>105</v>
      </c>
      <c r="E388" s="40">
        <v>11</v>
      </c>
      <c r="H388" s="43"/>
      <c r="I388" s="117" t="e">
        <f t="shared" si="47"/>
        <v>#DIV/0!</v>
      </c>
      <c r="J388" s="43"/>
      <c r="K388" s="44"/>
      <c r="L388" s="45"/>
      <c r="M388" s="43"/>
      <c r="N388" s="46"/>
      <c r="O388" s="46"/>
      <c r="P388" s="45"/>
      <c r="Q388" s="45"/>
      <c r="R388" s="45"/>
      <c r="S388" s="43"/>
      <c r="T388" s="43"/>
      <c r="U388" s="43"/>
      <c r="V388" s="43"/>
      <c r="W388" s="43"/>
      <c r="X388" s="43"/>
      <c r="Y388" s="43"/>
      <c r="Z388" s="43"/>
      <c r="AA388" s="43"/>
      <c r="AB388" s="43"/>
      <c r="AC388" s="43"/>
      <c r="AD388" s="43"/>
      <c r="AE388" s="48"/>
      <c r="AF388" s="48"/>
      <c r="AG388" s="48"/>
      <c r="AH388" s="50"/>
    </row>
    <row r="389" spans="1:34" ht="14.5">
      <c r="A389" s="40">
        <v>2012</v>
      </c>
      <c r="B389" s="41" t="s">
        <v>978</v>
      </c>
      <c r="C389" s="41" t="s">
        <v>979</v>
      </c>
      <c r="D389" s="41" t="s">
        <v>105</v>
      </c>
      <c r="E389" s="40">
        <v>11</v>
      </c>
      <c r="H389" s="43"/>
      <c r="I389" s="117" t="e">
        <f t="shared" si="47"/>
        <v>#DIV/0!</v>
      </c>
      <c r="J389" s="43"/>
      <c r="K389" s="44"/>
      <c r="L389" s="45"/>
      <c r="M389" s="43"/>
      <c r="N389" s="46"/>
      <c r="O389" s="46"/>
      <c r="P389" s="45"/>
      <c r="Q389" s="45"/>
      <c r="R389" s="45"/>
      <c r="S389" s="43"/>
      <c r="T389" s="43"/>
      <c r="U389" s="43"/>
      <c r="V389" s="43"/>
      <c r="W389" s="43"/>
      <c r="X389" s="43"/>
      <c r="Y389" s="43"/>
      <c r="Z389" s="43"/>
      <c r="AA389" s="43"/>
      <c r="AB389" s="43"/>
      <c r="AC389" s="43"/>
      <c r="AD389" s="43"/>
      <c r="AE389" s="48"/>
      <c r="AF389" s="48"/>
      <c r="AG389" s="48"/>
      <c r="AH389" s="50"/>
    </row>
    <row r="390" spans="1:34" ht="14.5">
      <c r="A390" s="40">
        <v>2013</v>
      </c>
      <c r="B390" s="41" t="s">
        <v>978</v>
      </c>
      <c r="C390" s="41" t="s">
        <v>979</v>
      </c>
      <c r="D390" s="41" t="s">
        <v>105</v>
      </c>
      <c r="E390" s="40">
        <v>11</v>
      </c>
      <c r="H390" s="43"/>
      <c r="I390" s="117" t="e">
        <f t="shared" si="47"/>
        <v>#DIV/0!</v>
      </c>
      <c r="J390" s="43"/>
      <c r="K390" s="44"/>
      <c r="L390" s="45"/>
      <c r="M390" s="43"/>
      <c r="N390" s="46"/>
      <c r="O390" s="46"/>
      <c r="P390" s="45"/>
      <c r="Q390" s="45"/>
      <c r="R390" s="45"/>
      <c r="S390" s="43"/>
      <c r="T390" s="43"/>
      <c r="U390" s="43"/>
      <c r="V390" s="43"/>
      <c r="W390" s="43"/>
      <c r="X390" s="43"/>
      <c r="Y390" s="43"/>
      <c r="Z390" s="43"/>
      <c r="AA390" s="43"/>
      <c r="AB390" s="43"/>
      <c r="AC390" s="43"/>
      <c r="AD390" s="43"/>
      <c r="AE390" s="48"/>
      <c r="AF390" s="48"/>
      <c r="AG390" s="48"/>
      <c r="AH390" s="50"/>
    </row>
    <row r="391" spans="1:34" ht="14.5">
      <c r="A391" s="40">
        <v>2014</v>
      </c>
      <c r="B391" s="41" t="s">
        <v>978</v>
      </c>
      <c r="C391" s="41" t="s">
        <v>979</v>
      </c>
      <c r="D391" s="41" t="s">
        <v>105</v>
      </c>
      <c r="E391" s="40">
        <v>11</v>
      </c>
      <c r="H391" s="43"/>
      <c r="I391" s="117" t="e">
        <f t="shared" si="47"/>
        <v>#DIV/0!</v>
      </c>
      <c r="J391" s="43"/>
      <c r="K391" s="44"/>
      <c r="L391" s="45"/>
      <c r="M391" s="43"/>
      <c r="N391" s="46"/>
      <c r="O391" s="46"/>
      <c r="P391" s="45"/>
      <c r="Q391" s="45"/>
      <c r="R391" s="45"/>
      <c r="S391" s="43"/>
      <c r="T391" s="43"/>
      <c r="U391" s="43"/>
      <c r="V391" s="43"/>
      <c r="W391" s="43"/>
      <c r="X391" s="43"/>
      <c r="Y391" s="43"/>
      <c r="Z391" s="43"/>
      <c r="AA391" s="43"/>
      <c r="AB391" s="43"/>
      <c r="AC391" s="43"/>
      <c r="AD391" s="43"/>
      <c r="AE391" s="48"/>
      <c r="AF391" s="48"/>
      <c r="AG391" s="48"/>
      <c r="AH391" s="50"/>
    </row>
    <row r="392" spans="1:34" ht="14.5">
      <c r="A392" s="40">
        <v>2015</v>
      </c>
      <c r="B392" s="41" t="s">
        <v>978</v>
      </c>
      <c r="C392" s="41" t="s">
        <v>979</v>
      </c>
      <c r="D392" s="41" t="s">
        <v>105</v>
      </c>
      <c r="E392" s="40">
        <v>11</v>
      </c>
      <c r="H392" s="43"/>
      <c r="I392" s="117" t="e">
        <f t="shared" si="47"/>
        <v>#DIV/0!</v>
      </c>
      <c r="J392" s="43"/>
      <c r="K392" s="44"/>
      <c r="L392" s="45"/>
      <c r="M392" s="43"/>
      <c r="N392" s="46"/>
      <c r="O392" s="46"/>
      <c r="P392" s="45"/>
      <c r="Q392" s="45"/>
      <c r="R392" s="45"/>
      <c r="S392" s="43"/>
      <c r="T392" s="43"/>
      <c r="U392" s="43"/>
      <c r="V392" s="43"/>
      <c r="W392" s="43"/>
      <c r="X392" s="43"/>
      <c r="Y392" s="43"/>
      <c r="Z392" s="43"/>
      <c r="AA392" s="43"/>
      <c r="AB392" s="43"/>
      <c r="AC392" s="43"/>
      <c r="AD392" s="43"/>
      <c r="AE392" s="48"/>
      <c r="AF392" s="48"/>
      <c r="AG392" s="48"/>
      <c r="AH392" s="50"/>
    </row>
    <row r="393" spans="1:34" ht="14.5">
      <c r="A393" s="40">
        <v>2016</v>
      </c>
      <c r="B393" s="41" t="s">
        <v>978</v>
      </c>
      <c r="C393" s="41" t="s">
        <v>979</v>
      </c>
      <c r="D393" s="41" t="s">
        <v>105</v>
      </c>
      <c r="E393" s="40">
        <v>11</v>
      </c>
      <c r="H393" s="43"/>
      <c r="I393" s="117" t="e">
        <f t="shared" si="47"/>
        <v>#DIV/0!</v>
      </c>
      <c r="J393" s="43"/>
      <c r="K393" s="44"/>
      <c r="L393" s="45"/>
      <c r="M393" s="43"/>
      <c r="N393" s="46"/>
      <c r="O393" s="46"/>
      <c r="P393" s="45"/>
      <c r="Q393" s="45"/>
      <c r="R393" s="45"/>
      <c r="S393" s="43"/>
      <c r="T393" s="43"/>
      <c r="U393" s="43"/>
      <c r="V393" s="43"/>
      <c r="W393" s="43"/>
      <c r="X393" s="43"/>
      <c r="Y393" s="43"/>
      <c r="Z393" s="43"/>
      <c r="AA393" s="43"/>
      <c r="AB393" s="43"/>
      <c r="AC393" s="43"/>
      <c r="AD393" s="43"/>
      <c r="AE393" s="48"/>
      <c r="AF393" s="48"/>
      <c r="AG393" s="48"/>
      <c r="AH393" s="50"/>
    </row>
    <row r="394" spans="1:34" ht="14.5">
      <c r="A394" s="40">
        <v>2017</v>
      </c>
      <c r="B394" s="41" t="s">
        <v>978</v>
      </c>
      <c r="C394" s="41" t="s">
        <v>979</v>
      </c>
      <c r="D394" s="41" t="s">
        <v>105</v>
      </c>
      <c r="E394" s="40">
        <v>11</v>
      </c>
      <c r="H394" s="43"/>
      <c r="I394" s="117" t="e">
        <f t="shared" si="47"/>
        <v>#DIV/0!</v>
      </c>
      <c r="J394" s="43"/>
      <c r="K394" s="44"/>
      <c r="L394" s="45"/>
      <c r="M394" s="43"/>
      <c r="N394" s="46"/>
      <c r="O394" s="46"/>
      <c r="P394" s="45"/>
      <c r="Q394" s="45"/>
      <c r="R394" s="45"/>
      <c r="S394" s="43"/>
      <c r="T394" s="43"/>
      <c r="U394" s="43"/>
      <c r="V394" s="43"/>
      <c r="W394" s="43"/>
      <c r="X394" s="43"/>
      <c r="Y394" s="43"/>
      <c r="Z394" s="43"/>
      <c r="AA394" s="43"/>
      <c r="AB394" s="43"/>
      <c r="AC394" s="43"/>
      <c r="AD394" s="43"/>
      <c r="AE394" s="48"/>
      <c r="AF394" s="48"/>
      <c r="AG394" s="48"/>
      <c r="AH394" s="50"/>
    </row>
    <row r="395" spans="1:34" ht="14.5">
      <c r="A395" s="40">
        <v>2009</v>
      </c>
      <c r="B395" s="41" t="s">
        <v>987</v>
      </c>
      <c r="C395" s="41" t="s">
        <v>988</v>
      </c>
      <c r="D395" s="41" t="s">
        <v>363</v>
      </c>
      <c r="E395" s="40">
        <v>12</v>
      </c>
      <c r="H395" s="43"/>
      <c r="I395" s="117" t="e">
        <f t="shared" si="47"/>
        <v>#DIV/0!</v>
      </c>
      <c r="J395" s="43"/>
      <c r="K395" s="44"/>
      <c r="L395" s="45"/>
      <c r="M395" s="43"/>
      <c r="N395" s="46"/>
      <c r="O395" s="46"/>
      <c r="P395" s="45"/>
      <c r="Q395" s="45"/>
      <c r="R395" s="45"/>
      <c r="S395" s="43"/>
      <c r="T395" s="43"/>
      <c r="U395" s="43"/>
      <c r="V395" s="43"/>
      <c r="W395" s="43"/>
      <c r="X395" s="43"/>
      <c r="Y395" s="43"/>
      <c r="Z395" s="43"/>
      <c r="AA395" s="43"/>
      <c r="AB395" s="43"/>
      <c r="AC395" s="43"/>
      <c r="AD395" s="43"/>
      <c r="AE395" s="48"/>
      <c r="AF395" s="48"/>
      <c r="AG395" s="48"/>
      <c r="AH395" s="50"/>
    </row>
    <row r="396" spans="1:34" ht="14.5">
      <c r="A396" s="40">
        <v>2010</v>
      </c>
      <c r="B396" s="41" t="s">
        <v>987</v>
      </c>
      <c r="C396" s="41" t="s">
        <v>988</v>
      </c>
      <c r="D396" s="41" t="s">
        <v>363</v>
      </c>
      <c r="E396" s="40">
        <v>12</v>
      </c>
      <c r="H396" s="43"/>
      <c r="I396" s="117" t="e">
        <f t="shared" si="47"/>
        <v>#DIV/0!</v>
      </c>
      <c r="J396" s="43"/>
      <c r="K396" s="44"/>
      <c r="L396" s="45"/>
      <c r="M396" s="43"/>
      <c r="N396" s="46"/>
      <c r="O396" s="46"/>
      <c r="P396" s="45"/>
      <c r="Q396" s="45"/>
      <c r="R396" s="45"/>
      <c r="S396" s="43"/>
      <c r="T396" s="43"/>
      <c r="U396" s="43"/>
      <c r="V396" s="43"/>
      <c r="W396" s="43"/>
      <c r="X396" s="43"/>
      <c r="Y396" s="43"/>
      <c r="Z396" s="43"/>
      <c r="AA396" s="43"/>
      <c r="AB396" s="43"/>
      <c r="AC396" s="43"/>
      <c r="AD396" s="43"/>
      <c r="AE396" s="48"/>
      <c r="AF396" s="48"/>
      <c r="AG396" s="48"/>
      <c r="AH396" s="50"/>
    </row>
    <row r="397" spans="1:34" ht="14.5">
      <c r="A397" s="40">
        <v>2011</v>
      </c>
      <c r="B397" s="41" t="s">
        <v>987</v>
      </c>
      <c r="C397" s="41" t="s">
        <v>988</v>
      </c>
      <c r="D397" s="41" t="s">
        <v>363</v>
      </c>
      <c r="E397" s="40">
        <v>12</v>
      </c>
      <c r="H397" s="43"/>
      <c r="I397" s="117" t="e">
        <f t="shared" si="47"/>
        <v>#DIV/0!</v>
      </c>
      <c r="J397" s="43"/>
      <c r="K397" s="44"/>
      <c r="L397" s="45"/>
      <c r="M397" s="43"/>
      <c r="N397" s="46"/>
      <c r="O397" s="46"/>
      <c r="P397" s="45"/>
      <c r="Q397" s="45"/>
      <c r="R397" s="45"/>
      <c r="S397" s="43"/>
      <c r="T397" s="43"/>
      <c r="U397" s="43"/>
      <c r="V397" s="43"/>
      <c r="W397" s="43"/>
      <c r="X397" s="43"/>
      <c r="Y397" s="43"/>
      <c r="Z397" s="43"/>
      <c r="AA397" s="43"/>
      <c r="AB397" s="43"/>
      <c r="AC397" s="43"/>
      <c r="AD397" s="43"/>
      <c r="AE397" s="48"/>
      <c r="AF397" s="48"/>
      <c r="AG397" s="48"/>
      <c r="AH397" s="50"/>
    </row>
    <row r="398" spans="1:34" ht="14.5">
      <c r="A398" s="40">
        <v>2012</v>
      </c>
      <c r="B398" s="41" t="s">
        <v>987</v>
      </c>
      <c r="C398" s="41" t="s">
        <v>988</v>
      </c>
      <c r="D398" s="41" t="s">
        <v>363</v>
      </c>
      <c r="E398" s="40">
        <v>12</v>
      </c>
      <c r="H398" s="43"/>
      <c r="I398" s="117" t="e">
        <f t="shared" si="47"/>
        <v>#DIV/0!</v>
      </c>
      <c r="J398" s="43"/>
      <c r="K398" s="44"/>
      <c r="L398" s="45"/>
      <c r="M398" s="43"/>
      <c r="N398" s="46"/>
      <c r="O398" s="46"/>
      <c r="P398" s="45"/>
      <c r="Q398" s="45"/>
      <c r="R398" s="45"/>
      <c r="S398" s="43"/>
      <c r="T398" s="43"/>
      <c r="U398" s="43"/>
      <c r="V398" s="43"/>
      <c r="W398" s="43"/>
      <c r="X398" s="43"/>
      <c r="Y398" s="43"/>
      <c r="Z398" s="43"/>
      <c r="AA398" s="43"/>
      <c r="AB398" s="43"/>
      <c r="AC398" s="43"/>
      <c r="AD398" s="43"/>
      <c r="AE398" s="48"/>
      <c r="AF398" s="48"/>
      <c r="AG398" s="48"/>
      <c r="AH398" s="50"/>
    </row>
    <row r="399" spans="1:34" ht="14.5">
      <c r="A399" s="40">
        <v>2013</v>
      </c>
      <c r="B399" s="41" t="s">
        <v>987</v>
      </c>
      <c r="C399" s="41" t="s">
        <v>988</v>
      </c>
      <c r="D399" s="41" t="s">
        <v>363</v>
      </c>
      <c r="E399" s="40">
        <v>12</v>
      </c>
      <c r="H399" s="43"/>
      <c r="I399" s="117" t="e">
        <f t="shared" si="47"/>
        <v>#DIV/0!</v>
      </c>
      <c r="J399" s="43"/>
      <c r="K399" s="44"/>
      <c r="L399" s="45"/>
      <c r="M399" s="43"/>
      <c r="N399" s="46"/>
      <c r="O399" s="46"/>
      <c r="P399" s="45"/>
      <c r="Q399" s="45"/>
      <c r="R399" s="45"/>
      <c r="S399" s="43"/>
      <c r="T399" s="43"/>
      <c r="U399" s="43"/>
      <c r="V399" s="43"/>
      <c r="W399" s="43"/>
      <c r="X399" s="43"/>
      <c r="Y399" s="43"/>
      <c r="Z399" s="43"/>
      <c r="AA399" s="43"/>
      <c r="AB399" s="43"/>
      <c r="AC399" s="43"/>
      <c r="AD399" s="43"/>
      <c r="AE399" s="48"/>
      <c r="AF399" s="48"/>
      <c r="AG399" s="48"/>
      <c r="AH399" s="50"/>
    </row>
    <row r="400" spans="1:34" ht="14.5">
      <c r="A400" s="40">
        <v>2014</v>
      </c>
      <c r="B400" s="41" t="s">
        <v>987</v>
      </c>
      <c r="C400" s="41" t="s">
        <v>988</v>
      </c>
      <c r="D400" s="41" t="s">
        <v>363</v>
      </c>
      <c r="E400" s="40">
        <v>12</v>
      </c>
      <c r="H400" s="43"/>
      <c r="I400" s="117" t="e">
        <f t="shared" si="47"/>
        <v>#DIV/0!</v>
      </c>
      <c r="J400" s="43"/>
      <c r="K400" s="44"/>
      <c r="L400" s="45"/>
      <c r="M400" s="43"/>
      <c r="N400" s="46"/>
      <c r="O400" s="46"/>
      <c r="P400" s="45"/>
      <c r="Q400" s="45"/>
      <c r="R400" s="45"/>
      <c r="S400" s="43"/>
      <c r="T400" s="43"/>
      <c r="U400" s="43"/>
      <c r="V400" s="43"/>
      <c r="W400" s="43"/>
      <c r="X400" s="43"/>
      <c r="Y400" s="43"/>
      <c r="Z400" s="43"/>
      <c r="AA400" s="43"/>
      <c r="AB400" s="43"/>
      <c r="AC400" s="43"/>
      <c r="AD400" s="43"/>
      <c r="AE400" s="48"/>
      <c r="AF400" s="48"/>
      <c r="AG400" s="48"/>
      <c r="AH400" s="50"/>
    </row>
    <row r="401" spans="1:34" ht="14.5">
      <c r="A401" s="40">
        <v>2015</v>
      </c>
      <c r="B401" s="41" t="s">
        <v>987</v>
      </c>
      <c r="C401" s="41" t="s">
        <v>988</v>
      </c>
      <c r="D401" s="41" t="s">
        <v>363</v>
      </c>
      <c r="E401" s="40">
        <v>12</v>
      </c>
      <c r="H401" s="43"/>
      <c r="I401" s="117" t="e">
        <f t="shared" si="47"/>
        <v>#DIV/0!</v>
      </c>
      <c r="J401" s="43"/>
      <c r="K401" s="44"/>
      <c r="L401" s="45"/>
      <c r="M401" s="43"/>
      <c r="N401" s="46"/>
      <c r="O401" s="46"/>
      <c r="P401" s="45"/>
      <c r="Q401" s="45"/>
      <c r="R401" s="45"/>
      <c r="S401" s="43"/>
      <c r="T401" s="43"/>
      <c r="U401" s="43"/>
      <c r="V401" s="43"/>
      <c r="W401" s="43"/>
      <c r="X401" s="43"/>
      <c r="Y401" s="43"/>
      <c r="Z401" s="43"/>
      <c r="AA401" s="43"/>
      <c r="AB401" s="43"/>
      <c r="AC401" s="43"/>
      <c r="AD401" s="43"/>
      <c r="AE401" s="48"/>
      <c r="AF401" s="48"/>
      <c r="AG401" s="48"/>
      <c r="AH401" s="50"/>
    </row>
    <row r="402" spans="1:34" ht="14.5">
      <c r="A402" s="40">
        <v>2016</v>
      </c>
      <c r="B402" s="41" t="s">
        <v>987</v>
      </c>
      <c r="C402" s="41" t="s">
        <v>988</v>
      </c>
      <c r="D402" s="41" t="s">
        <v>363</v>
      </c>
      <c r="E402" s="40">
        <v>12</v>
      </c>
      <c r="H402" s="43"/>
      <c r="I402" s="117" t="e">
        <f t="shared" si="47"/>
        <v>#DIV/0!</v>
      </c>
      <c r="J402" s="43"/>
      <c r="K402" s="44"/>
      <c r="L402" s="45"/>
      <c r="M402" s="43"/>
      <c r="N402" s="46"/>
      <c r="O402" s="46"/>
      <c r="P402" s="45"/>
      <c r="Q402" s="45"/>
      <c r="R402" s="45"/>
      <c r="S402" s="43"/>
      <c r="T402" s="43"/>
      <c r="U402" s="43"/>
      <c r="V402" s="43"/>
      <c r="W402" s="43"/>
      <c r="X402" s="43"/>
      <c r="Y402" s="43"/>
      <c r="Z402" s="43"/>
      <c r="AA402" s="43"/>
      <c r="AB402" s="43"/>
      <c r="AC402" s="43"/>
      <c r="AD402" s="43"/>
      <c r="AE402" s="48"/>
      <c r="AF402" s="48"/>
      <c r="AG402" s="48"/>
      <c r="AH402" s="50"/>
    </row>
    <row r="403" spans="1:34" ht="14.5">
      <c r="A403" s="40">
        <v>2017</v>
      </c>
      <c r="B403" s="41" t="s">
        <v>987</v>
      </c>
      <c r="C403" s="41" t="s">
        <v>988</v>
      </c>
      <c r="D403" s="41" t="s">
        <v>363</v>
      </c>
      <c r="E403" s="40">
        <v>12</v>
      </c>
      <c r="H403" s="43"/>
      <c r="I403" s="117" t="e">
        <f t="shared" si="47"/>
        <v>#DIV/0!</v>
      </c>
      <c r="J403" s="43"/>
      <c r="K403" s="44"/>
      <c r="L403" s="45"/>
      <c r="M403" s="43"/>
      <c r="N403" s="46"/>
      <c r="O403" s="46"/>
      <c r="P403" s="45"/>
      <c r="Q403" s="45"/>
      <c r="R403" s="45"/>
      <c r="S403" s="43"/>
      <c r="T403" s="43"/>
      <c r="U403" s="43"/>
      <c r="V403" s="43"/>
      <c r="W403" s="43"/>
      <c r="X403" s="43"/>
      <c r="Y403" s="43"/>
      <c r="Z403" s="43"/>
      <c r="AA403" s="43"/>
      <c r="AB403" s="43"/>
      <c r="AC403" s="43"/>
      <c r="AD403" s="43"/>
      <c r="AE403" s="48"/>
      <c r="AF403" s="48"/>
      <c r="AG403" s="48"/>
      <c r="AH403" s="50"/>
    </row>
    <row r="404" spans="1:34" ht="14.5">
      <c r="A404" s="40">
        <v>2005</v>
      </c>
      <c r="B404" s="41" t="s">
        <v>994</v>
      </c>
      <c r="C404" s="41" t="s">
        <v>995</v>
      </c>
      <c r="D404" s="41" t="s">
        <v>363</v>
      </c>
      <c r="E404" s="40">
        <v>11</v>
      </c>
      <c r="H404" s="43"/>
      <c r="I404" s="117" t="e">
        <f t="shared" si="47"/>
        <v>#DIV/0!</v>
      </c>
      <c r="J404" s="43"/>
      <c r="K404" s="44"/>
      <c r="L404" s="45"/>
      <c r="M404" s="43"/>
      <c r="N404" s="46"/>
      <c r="O404" s="46"/>
      <c r="P404" s="45"/>
      <c r="Q404" s="45"/>
      <c r="R404" s="45"/>
      <c r="S404" s="43"/>
      <c r="T404" s="43"/>
      <c r="U404" s="43"/>
      <c r="V404" s="43"/>
      <c r="W404" s="43"/>
      <c r="X404" s="43"/>
      <c r="Y404" s="43"/>
      <c r="Z404" s="43"/>
      <c r="AA404" s="43"/>
      <c r="AB404" s="43"/>
      <c r="AC404" s="43"/>
      <c r="AD404" s="43"/>
      <c r="AE404" s="48"/>
      <c r="AF404" s="48"/>
      <c r="AG404" s="48"/>
      <c r="AH404" s="50"/>
    </row>
    <row r="405" spans="1:34" ht="14.5">
      <c r="A405" s="40">
        <v>2006</v>
      </c>
      <c r="B405" s="41" t="s">
        <v>994</v>
      </c>
      <c r="C405" s="41" t="s">
        <v>995</v>
      </c>
      <c r="D405" s="41" t="s">
        <v>363</v>
      </c>
      <c r="E405" s="40">
        <v>11</v>
      </c>
      <c r="H405" s="43"/>
      <c r="I405" s="117" t="e">
        <f t="shared" si="47"/>
        <v>#DIV/0!</v>
      </c>
      <c r="J405" s="43"/>
      <c r="K405" s="44"/>
      <c r="L405" s="45"/>
      <c r="M405" s="43"/>
      <c r="N405" s="46"/>
      <c r="O405" s="46"/>
      <c r="P405" s="45"/>
      <c r="Q405" s="45"/>
      <c r="R405" s="45"/>
      <c r="S405" s="43"/>
      <c r="T405" s="43"/>
      <c r="U405" s="43"/>
      <c r="V405" s="43"/>
      <c r="W405" s="43"/>
      <c r="X405" s="43"/>
      <c r="Y405" s="43"/>
      <c r="Z405" s="43"/>
      <c r="AA405" s="43"/>
      <c r="AB405" s="43"/>
      <c r="AC405" s="43"/>
      <c r="AD405" s="43"/>
      <c r="AE405" s="48"/>
      <c r="AF405" s="48"/>
      <c r="AG405" s="48"/>
      <c r="AH405" s="50"/>
    </row>
    <row r="406" spans="1:34" ht="14.5">
      <c r="A406" s="40">
        <v>2007</v>
      </c>
      <c r="B406" s="41" t="s">
        <v>994</v>
      </c>
      <c r="C406" s="41" t="s">
        <v>995</v>
      </c>
      <c r="D406" s="41" t="s">
        <v>363</v>
      </c>
      <c r="E406" s="40">
        <v>11</v>
      </c>
      <c r="H406" s="43"/>
      <c r="I406" s="117" t="e">
        <f t="shared" si="47"/>
        <v>#DIV/0!</v>
      </c>
      <c r="J406" s="43"/>
      <c r="K406" s="44"/>
      <c r="L406" s="45"/>
      <c r="M406" s="43"/>
      <c r="N406" s="46"/>
      <c r="O406" s="46"/>
      <c r="P406" s="45"/>
      <c r="Q406" s="45"/>
      <c r="R406" s="45"/>
      <c r="S406" s="43"/>
      <c r="T406" s="43"/>
      <c r="U406" s="43"/>
      <c r="V406" s="43"/>
      <c r="W406" s="43"/>
      <c r="X406" s="43"/>
      <c r="Y406" s="43"/>
      <c r="Z406" s="43"/>
      <c r="AA406" s="43"/>
      <c r="AB406" s="43"/>
      <c r="AC406" s="43"/>
      <c r="AD406" s="43"/>
      <c r="AE406" s="48"/>
      <c r="AF406" s="48"/>
      <c r="AG406" s="48"/>
      <c r="AH406" s="50"/>
    </row>
    <row r="407" spans="1:34" ht="14.5">
      <c r="A407" s="40">
        <v>2008</v>
      </c>
      <c r="B407" s="41" t="s">
        <v>994</v>
      </c>
      <c r="C407" s="41" t="s">
        <v>995</v>
      </c>
      <c r="D407" s="41" t="s">
        <v>363</v>
      </c>
      <c r="E407" s="40">
        <v>11</v>
      </c>
      <c r="H407" s="43"/>
      <c r="I407" s="117" t="e">
        <f t="shared" si="47"/>
        <v>#DIV/0!</v>
      </c>
      <c r="J407" s="43"/>
      <c r="K407" s="44"/>
      <c r="L407" s="45"/>
      <c r="M407" s="43"/>
      <c r="N407" s="46"/>
      <c r="O407" s="46"/>
      <c r="P407" s="45"/>
      <c r="Q407" s="45"/>
      <c r="R407" s="45"/>
      <c r="S407" s="43"/>
      <c r="T407" s="43"/>
      <c r="U407" s="43"/>
      <c r="V407" s="43"/>
      <c r="W407" s="43"/>
      <c r="X407" s="43"/>
      <c r="Y407" s="43"/>
      <c r="Z407" s="43"/>
      <c r="AA407" s="43"/>
      <c r="AB407" s="43"/>
      <c r="AC407" s="43"/>
      <c r="AD407" s="43"/>
      <c r="AE407" s="48"/>
      <c r="AF407" s="48"/>
      <c r="AG407" s="48"/>
      <c r="AH407" s="50"/>
    </row>
    <row r="408" spans="1:34" ht="14.5">
      <c r="A408" s="40">
        <v>2009</v>
      </c>
      <c r="B408" s="41" t="s">
        <v>994</v>
      </c>
      <c r="C408" s="41" t="s">
        <v>995</v>
      </c>
      <c r="D408" s="41" t="s">
        <v>363</v>
      </c>
      <c r="E408" s="40">
        <v>11</v>
      </c>
      <c r="H408" s="43"/>
      <c r="I408" s="117" t="e">
        <f t="shared" si="47"/>
        <v>#DIV/0!</v>
      </c>
      <c r="J408" s="43"/>
      <c r="K408" s="44"/>
      <c r="L408" s="45"/>
      <c r="M408" s="43"/>
      <c r="N408" s="46"/>
      <c r="O408" s="46"/>
      <c r="P408" s="45"/>
      <c r="Q408" s="45"/>
      <c r="R408" s="45"/>
      <c r="S408" s="43"/>
      <c r="T408" s="43"/>
      <c r="U408" s="43"/>
      <c r="V408" s="43"/>
      <c r="W408" s="43"/>
      <c r="X408" s="43"/>
      <c r="Y408" s="43"/>
      <c r="Z408" s="43"/>
      <c r="AA408" s="43"/>
      <c r="AB408" s="43"/>
      <c r="AC408" s="43"/>
      <c r="AD408" s="43"/>
      <c r="AE408" s="48"/>
      <c r="AF408" s="48"/>
      <c r="AG408" s="48"/>
      <c r="AH408" s="50"/>
    </row>
    <row r="409" spans="1:34" ht="14.5">
      <c r="A409" s="40">
        <v>2010</v>
      </c>
      <c r="B409" s="41" t="s">
        <v>994</v>
      </c>
      <c r="C409" s="41" t="s">
        <v>995</v>
      </c>
      <c r="D409" s="41" t="s">
        <v>363</v>
      </c>
      <c r="E409" s="40">
        <v>11</v>
      </c>
      <c r="H409" s="43"/>
      <c r="I409" s="117" t="e">
        <f t="shared" si="47"/>
        <v>#DIV/0!</v>
      </c>
      <c r="J409" s="43"/>
      <c r="K409" s="44"/>
      <c r="L409" s="45"/>
      <c r="M409" s="43"/>
      <c r="N409" s="46"/>
      <c r="O409" s="46"/>
      <c r="P409" s="45"/>
      <c r="Q409" s="45"/>
      <c r="R409" s="45"/>
      <c r="S409" s="43"/>
      <c r="T409" s="43"/>
      <c r="U409" s="43"/>
      <c r="V409" s="43"/>
      <c r="W409" s="43"/>
      <c r="X409" s="43"/>
      <c r="Y409" s="43"/>
      <c r="Z409" s="43"/>
      <c r="AA409" s="43"/>
      <c r="AB409" s="43"/>
      <c r="AC409" s="43"/>
      <c r="AD409" s="43"/>
      <c r="AE409" s="48"/>
      <c r="AF409" s="48"/>
      <c r="AG409" s="48"/>
      <c r="AH409" s="50"/>
    </row>
    <row r="410" spans="1:34" ht="14.5">
      <c r="A410" s="40">
        <v>2011</v>
      </c>
      <c r="B410" s="41" t="s">
        <v>994</v>
      </c>
      <c r="C410" s="41" t="s">
        <v>995</v>
      </c>
      <c r="D410" s="41" t="s">
        <v>363</v>
      </c>
      <c r="E410" s="40">
        <v>11</v>
      </c>
      <c r="H410" s="43"/>
      <c r="I410" s="117" t="e">
        <f t="shared" si="47"/>
        <v>#DIV/0!</v>
      </c>
      <c r="J410" s="43"/>
      <c r="K410" s="44"/>
      <c r="L410" s="45"/>
      <c r="M410" s="43"/>
      <c r="N410" s="46"/>
      <c r="O410" s="46"/>
      <c r="P410" s="45"/>
      <c r="Q410" s="45"/>
      <c r="R410" s="45"/>
      <c r="S410" s="43"/>
      <c r="T410" s="43"/>
      <c r="U410" s="43"/>
      <c r="V410" s="43"/>
      <c r="W410" s="43"/>
      <c r="X410" s="43"/>
      <c r="Y410" s="43"/>
      <c r="Z410" s="43"/>
      <c r="AA410" s="43"/>
      <c r="AB410" s="43"/>
      <c r="AC410" s="43"/>
      <c r="AD410" s="43"/>
      <c r="AE410" s="48"/>
      <c r="AF410" s="48"/>
      <c r="AG410" s="48"/>
      <c r="AH410" s="50"/>
    </row>
    <row r="411" spans="1:34" ht="14.5">
      <c r="A411" s="40">
        <v>2012</v>
      </c>
      <c r="B411" s="41" t="s">
        <v>994</v>
      </c>
      <c r="C411" s="41" t="s">
        <v>995</v>
      </c>
      <c r="D411" s="41" t="s">
        <v>363</v>
      </c>
      <c r="E411" s="40">
        <v>11</v>
      </c>
      <c r="H411" s="43"/>
      <c r="I411" s="117" t="e">
        <f t="shared" si="47"/>
        <v>#DIV/0!</v>
      </c>
      <c r="J411" s="43"/>
      <c r="K411" s="44"/>
      <c r="L411" s="45"/>
      <c r="M411" s="43"/>
      <c r="N411" s="46"/>
      <c r="O411" s="46"/>
      <c r="P411" s="45"/>
      <c r="Q411" s="45"/>
      <c r="R411" s="45"/>
      <c r="S411" s="43"/>
      <c r="T411" s="43"/>
      <c r="U411" s="43"/>
      <c r="V411" s="43"/>
      <c r="W411" s="43"/>
      <c r="X411" s="43"/>
      <c r="Y411" s="43"/>
      <c r="Z411" s="43"/>
      <c r="AA411" s="43"/>
      <c r="AB411" s="43"/>
      <c r="AC411" s="43"/>
      <c r="AD411" s="43"/>
      <c r="AE411" s="48"/>
      <c r="AF411" s="48"/>
      <c r="AG411" s="48"/>
      <c r="AH411" s="50"/>
    </row>
    <row r="412" spans="1:34" ht="14.5">
      <c r="A412" s="40">
        <v>2013</v>
      </c>
      <c r="B412" s="41" t="s">
        <v>994</v>
      </c>
      <c r="C412" s="41" t="s">
        <v>995</v>
      </c>
      <c r="D412" s="41" t="s">
        <v>363</v>
      </c>
      <c r="E412" s="40">
        <v>11</v>
      </c>
      <c r="H412" s="43"/>
      <c r="I412" s="117" t="e">
        <f t="shared" si="47"/>
        <v>#DIV/0!</v>
      </c>
      <c r="J412" s="43"/>
      <c r="K412" s="44"/>
      <c r="L412" s="45"/>
      <c r="M412" s="43"/>
      <c r="N412" s="46"/>
      <c r="O412" s="46"/>
      <c r="P412" s="45"/>
      <c r="Q412" s="45"/>
      <c r="R412" s="45"/>
      <c r="S412" s="43"/>
      <c r="T412" s="43"/>
      <c r="U412" s="43"/>
      <c r="V412" s="43"/>
      <c r="W412" s="43"/>
      <c r="X412" s="43"/>
      <c r="Y412" s="43"/>
      <c r="Z412" s="43"/>
      <c r="AA412" s="43"/>
      <c r="AB412" s="43"/>
      <c r="AC412" s="43"/>
      <c r="AD412" s="43"/>
      <c r="AE412" s="48"/>
      <c r="AF412" s="48"/>
      <c r="AG412" s="48"/>
      <c r="AH412" s="50"/>
    </row>
    <row r="413" spans="1:34" ht="14.5">
      <c r="A413" s="40">
        <v>2014</v>
      </c>
      <c r="B413" s="41" t="s">
        <v>994</v>
      </c>
      <c r="C413" s="41" t="s">
        <v>995</v>
      </c>
      <c r="D413" s="41" t="s">
        <v>363</v>
      </c>
      <c r="E413" s="40">
        <v>11</v>
      </c>
      <c r="H413" s="43"/>
      <c r="I413" s="117" t="e">
        <f t="shared" si="47"/>
        <v>#DIV/0!</v>
      </c>
      <c r="J413" s="43"/>
      <c r="K413" s="44"/>
      <c r="L413" s="45"/>
      <c r="M413" s="43"/>
      <c r="N413" s="46"/>
      <c r="O413" s="46"/>
      <c r="P413" s="45"/>
      <c r="Q413" s="45"/>
      <c r="R413" s="45"/>
      <c r="S413" s="43"/>
      <c r="T413" s="43"/>
      <c r="U413" s="43"/>
      <c r="V413" s="43"/>
      <c r="W413" s="43"/>
      <c r="X413" s="43"/>
      <c r="Y413" s="43"/>
      <c r="Z413" s="43"/>
      <c r="AA413" s="43"/>
      <c r="AB413" s="43"/>
      <c r="AC413" s="43"/>
      <c r="AD413" s="43"/>
      <c r="AE413" s="48"/>
      <c r="AF413" s="48"/>
      <c r="AG413" s="48"/>
      <c r="AH413" s="50"/>
    </row>
    <row r="414" spans="1:34" ht="14.5">
      <c r="A414" s="40">
        <v>2015</v>
      </c>
      <c r="B414" s="41" t="s">
        <v>994</v>
      </c>
      <c r="C414" s="41" t="s">
        <v>995</v>
      </c>
      <c r="D414" s="41" t="s">
        <v>363</v>
      </c>
      <c r="E414" s="40">
        <v>11</v>
      </c>
      <c r="H414" s="43"/>
      <c r="I414" s="117" t="e">
        <f t="shared" si="47"/>
        <v>#DIV/0!</v>
      </c>
      <c r="J414" s="43"/>
      <c r="K414" s="44"/>
      <c r="L414" s="45"/>
      <c r="M414" s="43"/>
      <c r="N414" s="46"/>
      <c r="O414" s="46"/>
      <c r="P414" s="45"/>
      <c r="Q414" s="45"/>
      <c r="R414" s="45"/>
      <c r="S414" s="43"/>
      <c r="T414" s="43"/>
      <c r="U414" s="43"/>
      <c r="V414" s="43"/>
      <c r="W414" s="43"/>
      <c r="X414" s="43"/>
      <c r="Y414" s="43"/>
      <c r="Z414" s="43"/>
      <c r="AA414" s="43"/>
      <c r="AB414" s="43"/>
      <c r="AC414" s="43"/>
      <c r="AD414" s="43"/>
      <c r="AE414" s="48"/>
      <c r="AF414" s="48"/>
      <c r="AG414" s="48"/>
      <c r="AH414" s="50"/>
    </row>
    <row r="415" spans="1:34" ht="14.5">
      <c r="A415" s="40">
        <v>2016</v>
      </c>
      <c r="B415" s="41" t="s">
        <v>994</v>
      </c>
      <c r="C415" s="41" t="s">
        <v>995</v>
      </c>
      <c r="D415" s="41" t="s">
        <v>363</v>
      </c>
      <c r="E415" s="40">
        <v>11</v>
      </c>
      <c r="H415" s="43"/>
      <c r="I415" s="117" t="e">
        <f t="shared" si="47"/>
        <v>#DIV/0!</v>
      </c>
      <c r="J415" s="43"/>
      <c r="K415" s="44"/>
      <c r="L415" s="45"/>
      <c r="M415" s="43"/>
      <c r="N415" s="46"/>
      <c r="O415" s="46"/>
      <c r="P415" s="45"/>
      <c r="Q415" s="45"/>
      <c r="R415" s="45"/>
      <c r="S415" s="43"/>
      <c r="T415" s="43"/>
      <c r="U415" s="43"/>
      <c r="V415" s="43"/>
      <c r="W415" s="43"/>
      <c r="X415" s="43"/>
      <c r="Y415" s="43"/>
      <c r="Z415" s="43"/>
      <c r="AA415" s="43"/>
      <c r="AB415" s="43"/>
      <c r="AC415" s="43"/>
      <c r="AD415" s="43"/>
      <c r="AE415" s="48"/>
      <c r="AF415" s="48"/>
      <c r="AG415" s="48"/>
      <c r="AH415" s="50"/>
    </row>
    <row r="416" spans="1:34" ht="14.5">
      <c r="A416" s="40">
        <v>2017</v>
      </c>
      <c r="B416" s="41" t="s">
        <v>994</v>
      </c>
      <c r="C416" s="41" t="s">
        <v>995</v>
      </c>
      <c r="D416" s="41" t="s">
        <v>363</v>
      </c>
      <c r="E416" s="40">
        <v>11</v>
      </c>
      <c r="H416" s="43"/>
      <c r="I416" s="117" t="e">
        <f t="shared" si="47"/>
        <v>#DIV/0!</v>
      </c>
      <c r="J416" s="43"/>
      <c r="K416" s="44"/>
      <c r="L416" s="45"/>
      <c r="M416" s="43"/>
      <c r="N416" s="46"/>
      <c r="O416" s="46"/>
      <c r="P416" s="45"/>
      <c r="Q416" s="45"/>
      <c r="R416" s="45"/>
      <c r="S416" s="43"/>
      <c r="T416" s="43"/>
      <c r="U416" s="43"/>
      <c r="V416" s="43"/>
      <c r="W416" s="43"/>
      <c r="X416" s="43"/>
      <c r="Y416" s="43"/>
      <c r="Z416" s="43"/>
      <c r="AA416" s="43"/>
      <c r="AB416" s="43"/>
      <c r="AC416" s="43"/>
      <c r="AD416" s="43"/>
      <c r="AE416" s="48"/>
      <c r="AF416" s="48"/>
      <c r="AG416" s="48"/>
      <c r="AH416" s="50"/>
    </row>
    <row r="417" spans="1:34" ht="14.5">
      <c r="A417" s="40">
        <v>2004</v>
      </c>
      <c r="B417" s="41" t="s">
        <v>997</v>
      </c>
      <c r="C417" s="41" t="s">
        <v>998</v>
      </c>
      <c r="D417" s="41" t="s">
        <v>363</v>
      </c>
      <c r="E417" s="40">
        <v>11</v>
      </c>
      <c r="H417" s="43"/>
      <c r="I417" s="117" t="e">
        <f t="shared" si="47"/>
        <v>#DIV/0!</v>
      </c>
      <c r="J417" s="43"/>
      <c r="K417" s="44"/>
      <c r="L417" s="45"/>
      <c r="M417" s="43"/>
      <c r="N417" s="46"/>
      <c r="O417" s="46"/>
      <c r="P417" s="45"/>
      <c r="Q417" s="45"/>
      <c r="R417" s="45"/>
      <c r="S417" s="43"/>
      <c r="T417" s="43"/>
      <c r="U417" s="43"/>
      <c r="V417" s="43"/>
      <c r="W417" s="43"/>
      <c r="X417" s="43"/>
      <c r="Y417" s="43"/>
      <c r="Z417" s="43"/>
      <c r="AA417" s="43"/>
      <c r="AB417" s="43"/>
      <c r="AC417" s="43"/>
      <c r="AD417" s="43"/>
      <c r="AE417" s="48"/>
      <c r="AF417" s="48"/>
      <c r="AG417" s="48"/>
      <c r="AH417" s="50"/>
    </row>
    <row r="418" spans="1:34" ht="14.5">
      <c r="A418" s="40">
        <v>2005</v>
      </c>
      <c r="B418" s="41" t="s">
        <v>997</v>
      </c>
      <c r="C418" s="41" t="s">
        <v>998</v>
      </c>
      <c r="D418" s="41" t="s">
        <v>363</v>
      </c>
      <c r="E418" s="40">
        <v>11</v>
      </c>
      <c r="H418" s="43"/>
      <c r="I418" s="117" t="e">
        <f t="shared" si="47"/>
        <v>#DIV/0!</v>
      </c>
      <c r="J418" s="43"/>
      <c r="K418" s="44"/>
      <c r="L418" s="45"/>
      <c r="M418" s="43"/>
      <c r="N418" s="46"/>
      <c r="O418" s="46"/>
      <c r="P418" s="45"/>
      <c r="Q418" s="45"/>
      <c r="R418" s="45"/>
      <c r="S418" s="43"/>
      <c r="T418" s="43"/>
      <c r="U418" s="43"/>
      <c r="V418" s="43"/>
      <c r="W418" s="43"/>
      <c r="X418" s="43"/>
      <c r="Y418" s="43"/>
      <c r="Z418" s="43"/>
      <c r="AA418" s="43"/>
      <c r="AB418" s="43"/>
      <c r="AC418" s="43"/>
      <c r="AD418" s="43"/>
      <c r="AE418" s="48"/>
      <c r="AF418" s="48"/>
      <c r="AG418" s="48"/>
      <c r="AH418" s="50"/>
    </row>
    <row r="419" spans="1:34" ht="14.5">
      <c r="A419" s="40">
        <v>2006</v>
      </c>
      <c r="B419" s="41" t="s">
        <v>997</v>
      </c>
      <c r="C419" s="41" t="s">
        <v>998</v>
      </c>
      <c r="D419" s="41" t="s">
        <v>363</v>
      </c>
      <c r="E419" s="40">
        <v>11</v>
      </c>
      <c r="H419" s="43"/>
      <c r="I419" s="117" t="e">
        <f t="shared" si="47"/>
        <v>#DIV/0!</v>
      </c>
      <c r="J419" s="43"/>
      <c r="K419" s="44"/>
      <c r="L419" s="45"/>
      <c r="M419" s="43"/>
      <c r="N419" s="46"/>
      <c r="O419" s="46"/>
      <c r="P419" s="45"/>
      <c r="Q419" s="45"/>
      <c r="R419" s="45"/>
      <c r="S419" s="43"/>
      <c r="T419" s="43"/>
      <c r="U419" s="43"/>
      <c r="V419" s="43"/>
      <c r="W419" s="43"/>
      <c r="X419" s="43"/>
      <c r="Y419" s="43"/>
      <c r="Z419" s="43"/>
      <c r="AA419" s="43"/>
      <c r="AB419" s="43"/>
      <c r="AC419" s="43"/>
      <c r="AD419" s="43"/>
      <c r="AE419" s="48"/>
      <c r="AF419" s="48"/>
      <c r="AG419" s="48"/>
      <c r="AH419" s="50"/>
    </row>
    <row r="420" spans="1:34" ht="14.5">
      <c r="A420" s="40">
        <v>2007</v>
      </c>
      <c r="B420" s="41" t="s">
        <v>997</v>
      </c>
      <c r="C420" s="41" t="s">
        <v>998</v>
      </c>
      <c r="D420" s="41" t="s">
        <v>105</v>
      </c>
      <c r="E420" s="40">
        <v>11</v>
      </c>
      <c r="H420" s="43"/>
      <c r="I420" s="117" t="e">
        <f t="shared" si="47"/>
        <v>#DIV/0!</v>
      </c>
      <c r="J420" s="43"/>
      <c r="K420" s="44"/>
      <c r="L420" s="45"/>
      <c r="M420" s="43"/>
      <c r="N420" s="46"/>
      <c r="O420" s="46"/>
      <c r="P420" s="45"/>
      <c r="Q420" s="45"/>
      <c r="R420" s="45"/>
      <c r="S420" s="43"/>
      <c r="T420" s="43"/>
      <c r="U420" s="43"/>
      <c r="V420" s="43"/>
      <c r="W420" s="43"/>
      <c r="X420" s="43"/>
      <c r="Y420" s="43"/>
      <c r="Z420" s="43"/>
      <c r="AA420" s="43"/>
      <c r="AB420" s="43"/>
      <c r="AC420" s="43"/>
      <c r="AD420" s="43"/>
      <c r="AE420" s="48"/>
      <c r="AF420" s="48"/>
      <c r="AG420" s="48"/>
      <c r="AH420" s="50"/>
    </row>
    <row r="421" spans="1:34" ht="14.5">
      <c r="A421" s="40">
        <v>2008</v>
      </c>
      <c r="B421" s="41" t="s">
        <v>997</v>
      </c>
      <c r="C421" s="41" t="s">
        <v>998</v>
      </c>
      <c r="D421" s="41" t="s">
        <v>105</v>
      </c>
      <c r="E421" s="40">
        <v>11</v>
      </c>
      <c r="H421" s="43"/>
      <c r="I421" s="117" t="e">
        <f t="shared" si="47"/>
        <v>#DIV/0!</v>
      </c>
      <c r="J421" s="43"/>
      <c r="K421" s="44"/>
      <c r="L421" s="45"/>
      <c r="M421" s="43"/>
      <c r="N421" s="46"/>
      <c r="O421" s="46"/>
      <c r="P421" s="45"/>
      <c r="Q421" s="45"/>
      <c r="R421" s="45"/>
      <c r="S421" s="43"/>
      <c r="T421" s="43"/>
      <c r="U421" s="43"/>
      <c r="V421" s="43"/>
      <c r="W421" s="43"/>
      <c r="X421" s="43"/>
      <c r="Y421" s="43"/>
      <c r="Z421" s="43"/>
      <c r="AA421" s="43"/>
      <c r="AB421" s="43"/>
      <c r="AC421" s="43"/>
      <c r="AD421" s="43"/>
      <c r="AE421" s="48"/>
      <c r="AF421" s="48"/>
      <c r="AG421" s="48"/>
      <c r="AH421" s="50"/>
    </row>
    <row r="422" spans="1:34" ht="14.5">
      <c r="A422" s="40">
        <v>2009</v>
      </c>
      <c r="B422" s="41" t="s">
        <v>997</v>
      </c>
      <c r="C422" s="41" t="s">
        <v>998</v>
      </c>
      <c r="D422" s="41" t="s">
        <v>105</v>
      </c>
      <c r="E422" s="40">
        <v>11</v>
      </c>
      <c r="H422" s="43"/>
      <c r="I422" s="117" t="e">
        <f t="shared" si="47"/>
        <v>#DIV/0!</v>
      </c>
      <c r="J422" s="43"/>
      <c r="K422" s="44"/>
      <c r="L422" s="45"/>
      <c r="M422" s="43"/>
      <c r="N422" s="46"/>
      <c r="O422" s="46"/>
      <c r="P422" s="45"/>
      <c r="Q422" s="45"/>
      <c r="R422" s="45"/>
      <c r="S422" s="43"/>
      <c r="T422" s="43"/>
      <c r="U422" s="43"/>
      <c r="V422" s="43"/>
      <c r="W422" s="43"/>
      <c r="X422" s="43"/>
      <c r="Y422" s="43"/>
      <c r="Z422" s="43"/>
      <c r="AA422" s="43"/>
      <c r="AB422" s="43"/>
      <c r="AC422" s="43"/>
      <c r="AD422" s="43"/>
      <c r="AE422" s="48"/>
      <c r="AF422" s="48"/>
      <c r="AG422" s="48"/>
      <c r="AH422" s="50"/>
    </row>
    <row r="423" spans="1:34" ht="14.5">
      <c r="A423" s="40">
        <v>2010</v>
      </c>
      <c r="B423" s="41" t="s">
        <v>997</v>
      </c>
      <c r="C423" s="41" t="s">
        <v>998</v>
      </c>
      <c r="D423" s="41" t="s">
        <v>105</v>
      </c>
      <c r="E423" s="40">
        <v>11</v>
      </c>
      <c r="H423" s="43"/>
      <c r="I423" s="117" t="e">
        <f t="shared" si="47"/>
        <v>#DIV/0!</v>
      </c>
      <c r="J423" s="43"/>
      <c r="K423" s="44"/>
      <c r="L423" s="45"/>
      <c r="M423" s="43"/>
      <c r="N423" s="46"/>
      <c r="O423" s="46"/>
      <c r="P423" s="45"/>
      <c r="Q423" s="45"/>
      <c r="R423" s="45"/>
      <c r="S423" s="43"/>
      <c r="T423" s="43"/>
      <c r="U423" s="43"/>
      <c r="V423" s="43"/>
      <c r="W423" s="43"/>
      <c r="X423" s="43"/>
      <c r="Y423" s="43"/>
      <c r="Z423" s="43"/>
      <c r="AA423" s="43"/>
      <c r="AB423" s="43"/>
      <c r="AC423" s="43"/>
      <c r="AD423" s="43"/>
      <c r="AE423" s="48"/>
      <c r="AF423" s="48"/>
      <c r="AG423" s="48"/>
      <c r="AH423" s="50"/>
    </row>
    <row r="424" spans="1:34" ht="14.5">
      <c r="A424" s="40">
        <v>2011</v>
      </c>
      <c r="B424" s="41" t="s">
        <v>997</v>
      </c>
      <c r="C424" s="41" t="s">
        <v>998</v>
      </c>
      <c r="D424" s="41" t="s">
        <v>105</v>
      </c>
      <c r="E424" s="40">
        <v>11</v>
      </c>
      <c r="H424" s="43"/>
      <c r="I424" s="117" t="e">
        <f t="shared" si="47"/>
        <v>#DIV/0!</v>
      </c>
      <c r="J424" s="43"/>
      <c r="K424" s="44"/>
      <c r="L424" s="45"/>
      <c r="M424" s="43"/>
      <c r="N424" s="46"/>
      <c r="O424" s="46"/>
      <c r="P424" s="45"/>
      <c r="Q424" s="45"/>
      <c r="R424" s="45"/>
      <c r="S424" s="43"/>
      <c r="T424" s="43"/>
      <c r="U424" s="43"/>
      <c r="V424" s="43"/>
      <c r="W424" s="43"/>
      <c r="X424" s="43"/>
      <c r="Y424" s="43"/>
      <c r="Z424" s="43"/>
      <c r="AA424" s="43"/>
      <c r="AB424" s="43"/>
      <c r="AC424" s="43"/>
      <c r="AD424" s="43"/>
      <c r="AE424" s="48"/>
      <c r="AF424" s="48"/>
      <c r="AG424" s="48"/>
      <c r="AH424" s="50"/>
    </row>
    <row r="425" spans="1:34" ht="14.5">
      <c r="A425" s="40">
        <v>2012</v>
      </c>
      <c r="B425" s="41" t="s">
        <v>997</v>
      </c>
      <c r="C425" s="41" t="s">
        <v>998</v>
      </c>
      <c r="D425" s="41" t="s">
        <v>105</v>
      </c>
      <c r="E425" s="40">
        <v>11</v>
      </c>
      <c r="H425" s="43"/>
      <c r="I425" s="117" t="e">
        <f t="shared" si="47"/>
        <v>#DIV/0!</v>
      </c>
      <c r="J425" s="43"/>
      <c r="K425" s="44"/>
      <c r="L425" s="45"/>
      <c r="M425" s="43"/>
      <c r="N425" s="46"/>
      <c r="O425" s="46"/>
      <c r="P425" s="45"/>
      <c r="Q425" s="45"/>
      <c r="R425" s="45"/>
      <c r="S425" s="43"/>
      <c r="T425" s="43"/>
      <c r="U425" s="43"/>
      <c r="V425" s="43"/>
      <c r="W425" s="43"/>
      <c r="X425" s="43"/>
      <c r="Y425" s="43"/>
      <c r="Z425" s="43"/>
      <c r="AA425" s="43"/>
      <c r="AB425" s="43"/>
      <c r="AC425" s="43"/>
      <c r="AD425" s="43"/>
      <c r="AE425" s="48"/>
      <c r="AF425" s="48"/>
      <c r="AG425" s="48"/>
      <c r="AH425" s="50"/>
    </row>
    <row r="426" spans="1:34" ht="14.5">
      <c r="A426" s="40">
        <v>2013</v>
      </c>
      <c r="B426" s="41" t="s">
        <v>997</v>
      </c>
      <c r="C426" s="41" t="s">
        <v>998</v>
      </c>
      <c r="D426" s="41" t="s">
        <v>105</v>
      </c>
      <c r="E426" s="40">
        <v>11</v>
      </c>
      <c r="H426" s="43"/>
      <c r="I426" s="117" t="e">
        <f t="shared" si="47"/>
        <v>#DIV/0!</v>
      </c>
      <c r="J426" s="43"/>
      <c r="K426" s="44"/>
      <c r="L426" s="45"/>
      <c r="M426" s="43"/>
      <c r="N426" s="46"/>
      <c r="O426" s="46"/>
      <c r="P426" s="45"/>
      <c r="Q426" s="45"/>
      <c r="R426" s="45"/>
      <c r="S426" s="43"/>
      <c r="T426" s="43"/>
      <c r="U426" s="43"/>
      <c r="V426" s="43"/>
      <c r="W426" s="43"/>
      <c r="X426" s="43"/>
      <c r="Y426" s="43"/>
      <c r="Z426" s="43"/>
      <c r="AA426" s="43"/>
      <c r="AB426" s="43"/>
      <c r="AC426" s="43"/>
      <c r="AD426" s="43"/>
      <c r="AE426" s="48"/>
      <c r="AF426" s="48"/>
      <c r="AG426" s="48"/>
      <c r="AH426" s="50"/>
    </row>
    <row r="427" spans="1:34" ht="14.5">
      <c r="A427" s="40">
        <v>2014</v>
      </c>
      <c r="B427" s="41" t="s">
        <v>997</v>
      </c>
      <c r="C427" s="41" t="s">
        <v>998</v>
      </c>
      <c r="D427" s="41" t="s">
        <v>105</v>
      </c>
      <c r="E427" s="40">
        <v>11</v>
      </c>
      <c r="H427" s="43"/>
      <c r="I427" s="117" t="e">
        <f t="shared" si="47"/>
        <v>#DIV/0!</v>
      </c>
      <c r="J427" s="43"/>
      <c r="K427" s="44"/>
      <c r="L427" s="45"/>
      <c r="M427" s="43"/>
      <c r="N427" s="46"/>
      <c r="O427" s="46"/>
      <c r="P427" s="45"/>
      <c r="Q427" s="45"/>
      <c r="R427" s="45"/>
      <c r="S427" s="43"/>
      <c r="T427" s="43"/>
      <c r="U427" s="43"/>
      <c r="V427" s="43"/>
      <c r="W427" s="43"/>
      <c r="X427" s="43"/>
      <c r="Y427" s="43"/>
      <c r="Z427" s="43"/>
      <c r="AA427" s="43"/>
      <c r="AB427" s="43"/>
      <c r="AC427" s="43"/>
      <c r="AD427" s="43"/>
      <c r="AE427" s="48"/>
      <c r="AF427" s="48"/>
      <c r="AG427" s="48"/>
      <c r="AH427" s="50"/>
    </row>
    <row r="428" spans="1:34" ht="14.5">
      <c r="A428" s="40">
        <v>2015</v>
      </c>
      <c r="B428" s="41" t="s">
        <v>997</v>
      </c>
      <c r="C428" s="41" t="s">
        <v>998</v>
      </c>
      <c r="D428" s="41" t="s">
        <v>105</v>
      </c>
      <c r="E428" s="40">
        <v>11</v>
      </c>
      <c r="H428" s="43"/>
      <c r="I428" s="117" t="e">
        <f t="shared" si="47"/>
        <v>#DIV/0!</v>
      </c>
      <c r="J428" s="43"/>
      <c r="K428" s="44"/>
      <c r="L428" s="45"/>
      <c r="M428" s="43"/>
      <c r="N428" s="46"/>
      <c r="O428" s="46"/>
      <c r="P428" s="45"/>
      <c r="Q428" s="45"/>
      <c r="R428" s="45"/>
      <c r="S428" s="43"/>
      <c r="T428" s="43"/>
      <c r="U428" s="43"/>
      <c r="V428" s="43"/>
      <c r="W428" s="43"/>
      <c r="X428" s="43"/>
      <c r="Y428" s="43"/>
      <c r="Z428" s="43"/>
      <c r="AA428" s="43"/>
      <c r="AB428" s="43"/>
      <c r="AC428" s="43"/>
      <c r="AD428" s="43"/>
      <c r="AE428" s="48"/>
      <c r="AF428" s="48"/>
      <c r="AG428" s="48"/>
      <c r="AH428" s="50"/>
    </row>
    <row r="429" spans="1:34" ht="14.5">
      <c r="A429" s="40">
        <v>2016</v>
      </c>
      <c r="B429" s="41" t="s">
        <v>997</v>
      </c>
      <c r="C429" s="41" t="s">
        <v>998</v>
      </c>
      <c r="D429" s="41" t="s">
        <v>105</v>
      </c>
      <c r="E429" s="40">
        <v>11</v>
      </c>
      <c r="H429" s="43"/>
      <c r="I429" s="117" t="e">
        <f t="shared" si="47"/>
        <v>#DIV/0!</v>
      </c>
      <c r="J429" s="43"/>
      <c r="K429" s="44"/>
      <c r="L429" s="45"/>
      <c r="M429" s="43"/>
      <c r="N429" s="46"/>
      <c r="O429" s="46"/>
      <c r="P429" s="45"/>
      <c r="Q429" s="45"/>
      <c r="R429" s="45"/>
      <c r="S429" s="43"/>
      <c r="T429" s="43"/>
      <c r="U429" s="43"/>
      <c r="V429" s="43"/>
      <c r="W429" s="43"/>
      <c r="X429" s="43"/>
      <c r="Y429" s="43"/>
      <c r="Z429" s="43"/>
      <c r="AA429" s="43"/>
      <c r="AB429" s="43"/>
      <c r="AC429" s="43"/>
      <c r="AD429" s="43"/>
      <c r="AE429" s="48"/>
      <c r="AF429" s="48"/>
      <c r="AG429" s="48"/>
      <c r="AH429" s="50"/>
    </row>
    <row r="430" spans="1:34" ht="14.5">
      <c r="A430" s="40">
        <v>2017</v>
      </c>
      <c r="B430" s="41" t="s">
        <v>997</v>
      </c>
      <c r="C430" s="41" t="s">
        <v>998</v>
      </c>
      <c r="D430" s="41" t="s">
        <v>105</v>
      </c>
      <c r="E430" s="40">
        <v>11</v>
      </c>
      <c r="H430" s="43"/>
      <c r="I430" s="117" t="e">
        <f t="shared" si="47"/>
        <v>#DIV/0!</v>
      </c>
      <c r="J430" s="43"/>
      <c r="K430" s="44"/>
      <c r="L430" s="45"/>
      <c r="M430" s="43"/>
      <c r="N430" s="46"/>
      <c r="O430" s="46"/>
      <c r="P430" s="45"/>
      <c r="Q430" s="45"/>
      <c r="R430" s="45"/>
      <c r="S430" s="43"/>
      <c r="T430" s="43"/>
      <c r="U430" s="43"/>
      <c r="V430" s="43"/>
      <c r="W430" s="43"/>
      <c r="X430" s="43"/>
      <c r="Y430" s="43"/>
      <c r="Z430" s="43"/>
      <c r="AA430" s="43"/>
      <c r="AB430" s="43"/>
      <c r="AC430" s="43"/>
      <c r="AD430" s="43"/>
      <c r="AE430" s="48"/>
      <c r="AF430" s="48"/>
      <c r="AG430" s="48"/>
      <c r="AH430" s="50"/>
    </row>
    <row r="431" spans="1:34" ht="14.5">
      <c r="A431" s="40">
        <v>2005</v>
      </c>
      <c r="B431" s="41" t="s">
        <v>1008</v>
      </c>
      <c r="C431" s="41" t="s">
        <v>1009</v>
      </c>
      <c r="D431" s="41" t="s">
        <v>105</v>
      </c>
      <c r="E431" s="40">
        <v>12</v>
      </c>
      <c r="H431" s="43"/>
      <c r="I431" s="117" t="e">
        <f t="shared" si="47"/>
        <v>#DIV/0!</v>
      </c>
      <c r="J431" s="43"/>
      <c r="K431" s="44"/>
      <c r="L431" s="45"/>
      <c r="M431" s="43"/>
      <c r="N431" s="46"/>
      <c r="O431" s="46"/>
      <c r="P431" s="45"/>
      <c r="Q431" s="45"/>
      <c r="R431" s="45"/>
      <c r="S431" s="43"/>
      <c r="T431" s="43"/>
      <c r="U431" s="43"/>
      <c r="V431" s="43"/>
      <c r="W431" s="43"/>
      <c r="X431" s="43"/>
      <c r="Y431" s="43"/>
      <c r="Z431" s="43"/>
      <c r="AA431" s="43"/>
      <c r="AB431" s="43"/>
      <c r="AC431" s="43"/>
      <c r="AD431" s="43"/>
      <c r="AE431" s="48"/>
      <c r="AF431" s="48"/>
      <c r="AG431" s="48"/>
      <c r="AH431" s="50"/>
    </row>
    <row r="432" spans="1:34" ht="14.5">
      <c r="A432" s="40">
        <v>2006</v>
      </c>
      <c r="B432" s="41" t="s">
        <v>1008</v>
      </c>
      <c r="C432" s="41" t="s">
        <v>1009</v>
      </c>
      <c r="D432" s="41" t="s">
        <v>105</v>
      </c>
      <c r="E432" s="40">
        <v>12</v>
      </c>
      <c r="H432" s="43"/>
      <c r="I432" s="117" t="e">
        <f t="shared" si="47"/>
        <v>#DIV/0!</v>
      </c>
      <c r="J432" s="43"/>
      <c r="K432" s="44"/>
      <c r="L432" s="45"/>
      <c r="M432" s="43"/>
      <c r="N432" s="46"/>
      <c r="O432" s="46"/>
      <c r="P432" s="45"/>
      <c r="Q432" s="45"/>
      <c r="R432" s="45"/>
      <c r="S432" s="43"/>
      <c r="T432" s="43"/>
      <c r="U432" s="43"/>
      <c r="V432" s="43"/>
      <c r="W432" s="43"/>
      <c r="X432" s="43"/>
      <c r="Y432" s="43"/>
      <c r="Z432" s="43"/>
      <c r="AA432" s="43"/>
      <c r="AB432" s="43"/>
      <c r="AC432" s="43"/>
      <c r="AD432" s="43"/>
      <c r="AE432" s="48"/>
      <c r="AF432" s="48"/>
      <c r="AG432" s="48"/>
      <c r="AH432" s="50"/>
    </row>
    <row r="433" spans="1:34" ht="14.5">
      <c r="A433" s="40">
        <v>2007</v>
      </c>
      <c r="B433" s="41" t="s">
        <v>1008</v>
      </c>
      <c r="C433" s="41" t="s">
        <v>1009</v>
      </c>
      <c r="D433" s="41" t="s">
        <v>105</v>
      </c>
      <c r="E433" s="40">
        <v>12</v>
      </c>
      <c r="H433" s="43"/>
      <c r="I433" s="117" t="e">
        <f t="shared" si="47"/>
        <v>#DIV/0!</v>
      </c>
      <c r="J433" s="43"/>
      <c r="K433" s="44"/>
      <c r="L433" s="45"/>
      <c r="M433" s="43"/>
      <c r="N433" s="46"/>
      <c r="O433" s="46"/>
      <c r="P433" s="45"/>
      <c r="Q433" s="45"/>
      <c r="R433" s="45"/>
      <c r="S433" s="43"/>
      <c r="T433" s="43"/>
      <c r="U433" s="43"/>
      <c r="V433" s="43"/>
      <c r="W433" s="43"/>
      <c r="X433" s="43"/>
      <c r="Y433" s="43"/>
      <c r="Z433" s="43"/>
      <c r="AA433" s="43"/>
      <c r="AB433" s="43"/>
      <c r="AC433" s="43"/>
      <c r="AD433" s="43"/>
      <c r="AE433" s="48"/>
      <c r="AF433" s="48"/>
      <c r="AG433" s="48"/>
      <c r="AH433" s="50"/>
    </row>
    <row r="434" spans="1:34" ht="14.5">
      <c r="A434" s="40">
        <v>2008</v>
      </c>
      <c r="B434" s="41" t="s">
        <v>1008</v>
      </c>
      <c r="C434" s="41" t="s">
        <v>1009</v>
      </c>
      <c r="D434" s="41" t="s">
        <v>105</v>
      </c>
      <c r="E434" s="40">
        <v>12</v>
      </c>
      <c r="H434" s="43"/>
      <c r="I434" s="117" t="e">
        <f t="shared" si="47"/>
        <v>#DIV/0!</v>
      </c>
      <c r="J434" s="43"/>
      <c r="K434" s="44"/>
      <c r="L434" s="45"/>
      <c r="M434" s="43"/>
      <c r="N434" s="46"/>
      <c r="O434" s="46"/>
      <c r="P434" s="45"/>
      <c r="Q434" s="45"/>
      <c r="R434" s="45"/>
      <c r="S434" s="43"/>
      <c r="T434" s="43"/>
      <c r="U434" s="43"/>
      <c r="V434" s="43"/>
      <c r="W434" s="43"/>
      <c r="X434" s="43"/>
      <c r="Y434" s="43"/>
      <c r="Z434" s="43"/>
      <c r="AA434" s="43"/>
      <c r="AB434" s="43"/>
      <c r="AC434" s="43"/>
      <c r="AD434" s="43"/>
      <c r="AE434" s="48"/>
      <c r="AF434" s="48"/>
      <c r="AG434" s="48"/>
      <c r="AH434" s="50"/>
    </row>
    <row r="435" spans="1:34" ht="14.5">
      <c r="A435" s="40">
        <v>2009</v>
      </c>
      <c r="B435" s="41" t="s">
        <v>1008</v>
      </c>
      <c r="C435" s="41" t="s">
        <v>1009</v>
      </c>
      <c r="D435" s="41" t="s">
        <v>105</v>
      </c>
      <c r="E435" s="40">
        <v>12</v>
      </c>
      <c r="H435" s="43"/>
      <c r="I435" s="117" t="e">
        <f t="shared" si="47"/>
        <v>#DIV/0!</v>
      </c>
      <c r="J435" s="43"/>
      <c r="K435" s="44"/>
      <c r="L435" s="45"/>
      <c r="M435" s="43"/>
      <c r="N435" s="46"/>
      <c r="O435" s="46"/>
      <c r="P435" s="45"/>
      <c r="Q435" s="45"/>
      <c r="R435" s="45"/>
      <c r="S435" s="43"/>
      <c r="T435" s="43"/>
      <c r="U435" s="43"/>
      <c r="V435" s="43"/>
      <c r="W435" s="43"/>
      <c r="X435" s="43"/>
      <c r="Y435" s="43"/>
      <c r="Z435" s="43"/>
      <c r="AA435" s="43"/>
      <c r="AB435" s="43"/>
      <c r="AC435" s="43"/>
      <c r="AD435" s="43"/>
      <c r="AE435" s="48"/>
      <c r="AF435" s="48"/>
      <c r="AG435" s="48"/>
      <c r="AH435" s="50"/>
    </row>
    <row r="436" spans="1:34" ht="14.5">
      <c r="A436" s="40">
        <v>2010</v>
      </c>
      <c r="B436" s="41" t="s">
        <v>1008</v>
      </c>
      <c r="C436" s="41" t="s">
        <v>1009</v>
      </c>
      <c r="D436" s="41" t="s">
        <v>105</v>
      </c>
      <c r="E436" s="40">
        <v>12</v>
      </c>
      <c r="H436" s="43"/>
      <c r="I436" s="117" t="e">
        <f t="shared" si="47"/>
        <v>#DIV/0!</v>
      </c>
      <c r="J436" s="43"/>
      <c r="K436" s="44"/>
      <c r="L436" s="45"/>
      <c r="M436" s="43"/>
      <c r="N436" s="46"/>
      <c r="O436" s="46"/>
      <c r="P436" s="45"/>
      <c r="Q436" s="45"/>
      <c r="R436" s="45"/>
      <c r="S436" s="43"/>
      <c r="T436" s="43"/>
      <c r="U436" s="43"/>
      <c r="V436" s="43"/>
      <c r="W436" s="43"/>
      <c r="X436" s="43"/>
      <c r="Y436" s="43"/>
      <c r="Z436" s="43"/>
      <c r="AA436" s="43"/>
      <c r="AB436" s="43"/>
      <c r="AC436" s="43"/>
      <c r="AD436" s="43"/>
      <c r="AE436" s="48"/>
      <c r="AF436" s="48"/>
      <c r="AG436" s="48"/>
      <c r="AH436" s="50"/>
    </row>
    <row r="437" spans="1:34" ht="14.5">
      <c r="A437" s="40">
        <v>2011</v>
      </c>
      <c r="B437" s="41" t="s">
        <v>1008</v>
      </c>
      <c r="C437" s="41" t="s">
        <v>1009</v>
      </c>
      <c r="D437" s="41" t="s">
        <v>105</v>
      </c>
      <c r="E437" s="40">
        <v>12</v>
      </c>
      <c r="H437" s="43"/>
      <c r="I437" s="117" t="e">
        <f t="shared" si="47"/>
        <v>#DIV/0!</v>
      </c>
      <c r="J437" s="43"/>
      <c r="K437" s="44"/>
      <c r="L437" s="45"/>
      <c r="M437" s="43"/>
      <c r="N437" s="46"/>
      <c r="O437" s="46"/>
      <c r="P437" s="45"/>
      <c r="Q437" s="45"/>
      <c r="R437" s="45"/>
      <c r="S437" s="43"/>
      <c r="T437" s="43"/>
      <c r="U437" s="43"/>
      <c r="V437" s="43"/>
      <c r="W437" s="43"/>
      <c r="X437" s="43"/>
      <c r="Y437" s="43"/>
      <c r="Z437" s="43"/>
      <c r="AA437" s="43"/>
      <c r="AB437" s="43"/>
      <c r="AC437" s="43"/>
      <c r="AD437" s="43"/>
      <c r="AE437" s="48"/>
      <c r="AF437" s="48"/>
      <c r="AG437" s="48"/>
      <c r="AH437" s="50"/>
    </row>
    <row r="438" spans="1:34" ht="14.5">
      <c r="A438" s="40">
        <v>2012</v>
      </c>
      <c r="B438" s="41" t="s">
        <v>1008</v>
      </c>
      <c r="C438" s="41" t="s">
        <v>1009</v>
      </c>
      <c r="D438" s="41" t="s">
        <v>105</v>
      </c>
      <c r="E438" s="40">
        <v>12</v>
      </c>
      <c r="H438" s="43"/>
      <c r="I438" s="117" t="e">
        <f t="shared" si="47"/>
        <v>#DIV/0!</v>
      </c>
      <c r="J438" s="43"/>
      <c r="K438" s="44"/>
      <c r="L438" s="45"/>
      <c r="M438" s="43"/>
      <c r="N438" s="46"/>
      <c r="O438" s="46"/>
      <c r="P438" s="45"/>
      <c r="Q438" s="45"/>
      <c r="R438" s="45"/>
      <c r="S438" s="43"/>
      <c r="T438" s="43"/>
      <c r="U438" s="43"/>
      <c r="V438" s="43"/>
      <c r="W438" s="43"/>
      <c r="X438" s="43"/>
      <c r="Y438" s="43"/>
      <c r="Z438" s="43"/>
      <c r="AA438" s="43"/>
      <c r="AB438" s="43"/>
      <c r="AC438" s="43"/>
      <c r="AD438" s="43"/>
      <c r="AE438" s="48"/>
      <c r="AF438" s="48"/>
      <c r="AG438" s="48"/>
      <c r="AH438" s="50"/>
    </row>
    <row r="439" spans="1:34" ht="14.5">
      <c r="A439" s="40">
        <v>2013</v>
      </c>
      <c r="B439" s="41" t="s">
        <v>1008</v>
      </c>
      <c r="C439" s="41" t="s">
        <v>1009</v>
      </c>
      <c r="D439" s="41" t="s">
        <v>105</v>
      </c>
      <c r="E439" s="40">
        <v>12</v>
      </c>
      <c r="H439" s="43"/>
      <c r="I439" s="117" t="e">
        <f t="shared" si="47"/>
        <v>#DIV/0!</v>
      </c>
      <c r="J439" s="43"/>
      <c r="K439" s="44"/>
      <c r="L439" s="45"/>
      <c r="M439" s="43"/>
      <c r="N439" s="46"/>
      <c r="O439" s="46"/>
      <c r="P439" s="45"/>
      <c r="Q439" s="45"/>
      <c r="R439" s="45"/>
      <c r="S439" s="43"/>
      <c r="T439" s="43"/>
      <c r="U439" s="43"/>
      <c r="V439" s="43"/>
      <c r="W439" s="43"/>
      <c r="X439" s="43"/>
      <c r="Y439" s="43"/>
      <c r="Z439" s="43"/>
      <c r="AA439" s="43"/>
      <c r="AB439" s="43"/>
      <c r="AC439" s="43"/>
      <c r="AD439" s="43"/>
      <c r="AE439" s="48"/>
      <c r="AF439" s="48"/>
      <c r="AG439" s="48"/>
      <c r="AH439" s="50"/>
    </row>
    <row r="440" spans="1:34" ht="14.5">
      <c r="A440" s="40">
        <v>2014</v>
      </c>
      <c r="B440" s="41" t="s">
        <v>1008</v>
      </c>
      <c r="C440" s="41" t="s">
        <v>1009</v>
      </c>
      <c r="D440" s="41" t="s">
        <v>105</v>
      </c>
      <c r="E440" s="40">
        <v>12</v>
      </c>
      <c r="H440" s="43"/>
      <c r="I440" s="117" t="e">
        <f t="shared" si="47"/>
        <v>#DIV/0!</v>
      </c>
      <c r="J440" s="43"/>
      <c r="K440" s="44"/>
      <c r="L440" s="45"/>
      <c r="M440" s="43"/>
      <c r="N440" s="46"/>
      <c r="O440" s="46"/>
      <c r="P440" s="45"/>
      <c r="Q440" s="45"/>
      <c r="R440" s="45"/>
      <c r="S440" s="43"/>
      <c r="T440" s="43"/>
      <c r="U440" s="43"/>
      <c r="V440" s="43"/>
      <c r="W440" s="43"/>
      <c r="X440" s="43"/>
      <c r="Y440" s="43"/>
      <c r="Z440" s="43"/>
      <c r="AA440" s="43"/>
      <c r="AB440" s="43"/>
      <c r="AC440" s="43"/>
      <c r="AD440" s="43"/>
      <c r="AE440" s="48"/>
      <c r="AF440" s="48"/>
      <c r="AG440" s="48"/>
      <c r="AH440" s="50"/>
    </row>
    <row r="441" spans="1:34" ht="14.5">
      <c r="A441" s="40">
        <v>2015</v>
      </c>
      <c r="B441" s="41" t="s">
        <v>1008</v>
      </c>
      <c r="C441" s="41" t="s">
        <v>1009</v>
      </c>
      <c r="D441" s="41" t="s">
        <v>105</v>
      </c>
      <c r="E441" s="40">
        <v>12</v>
      </c>
      <c r="H441" s="43"/>
      <c r="I441" s="117" t="e">
        <f t="shared" si="47"/>
        <v>#DIV/0!</v>
      </c>
      <c r="J441" s="43"/>
      <c r="K441" s="44"/>
      <c r="L441" s="45"/>
      <c r="M441" s="43"/>
      <c r="N441" s="46"/>
      <c r="O441" s="46"/>
      <c r="P441" s="45"/>
      <c r="Q441" s="45"/>
      <c r="R441" s="45"/>
      <c r="S441" s="43"/>
      <c r="T441" s="43"/>
      <c r="U441" s="43"/>
      <c r="V441" s="43"/>
      <c r="W441" s="43"/>
      <c r="X441" s="43"/>
      <c r="Y441" s="43"/>
      <c r="Z441" s="43"/>
      <c r="AA441" s="43"/>
      <c r="AB441" s="43"/>
      <c r="AC441" s="43"/>
      <c r="AD441" s="43"/>
      <c r="AE441" s="48"/>
      <c r="AF441" s="48"/>
      <c r="AG441" s="48"/>
      <c r="AH441" s="50"/>
    </row>
    <row r="442" spans="1:34" ht="14.5">
      <c r="A442" s="40">
        <v>2016</v>
      </c>
      <c r="B442" s="41" t="s">
        <v>1008</v>
      </c>
      <c r="C442" s="41" t="s">
        <v>1009</v>
      </c>
      <c r="D442" s="41" t="s">
        <v>105</v>
      </c>
      <c r="E442" s="40">
        <v>12</v>
      </c>
      <c r="H442" s="43"/>
      <c r="I442" s="117" t="e">
        <f t="shared" si="47"/>
        <v>#DIV/0!</v>
      </c>
      <c r="J442" s="43"/>
      <c r="K442" s="44"/>
      <c r="L442" s="45"/>
      <c r="M442" s="43"/>
      <c r="N442" s="46"/>
      <c r="O442" s="46"/>
      <c r="P442" s="45"/>
      <c r="Q442" s="45"/>
      <c r="R442" s="45"/>
      <c r="S442" s="43"/>
      <c r="T442" s="43"/>
      <c r="U442" s="43"/>
      <c r="V442" s="43"/>
      <c r="W442" s="43"/>
      <c r="X442" s="43"/>
      <c r="Y442" s="43"/>
      <c r="Z442" s="43"/>
      <c r="AA442" s="43"/>
      <c r="AB442" s="43"/>
      <c r="AC442" s="43"/>
      <c r="AD442" s="43"/>
      <c r="AE442" s="48"/>
      <c r="AF442" s="48"/>
      <c r="AG442" s="48"/>
      <c r="AH442" s="50"/>
    </row>
    <row r="443" spans="1:34" ht="14.5">
      <c r="A443" s="40">
        <v>2017</v>
      </c>
      <c r="B443" s="41" t="s">
        <v>1008</v>
      </c>
      <c r="C443" s="41" t="s">
        <v>1009</v>
      </c>
      <c r="D443" s="41" t="s">
        <v>105</v>
      </c>
      <c r="E443" s="40">
        <v>12</v>
      </c>
      <c r="H443" s="43"/>
      <c r="I443" s="117" t="e">
        <f t="shared" si="47"/>
        <v>#DIV/0!</v>
      </c>
      <c r="J443" s="43"/>
      <c r="K443" s="44"/>
      <c r="L443" s="45"/>
      <c r="M443" s="43"/>
      <c r="N443" s="46"/>
      <c r="O443" s="46"/>
      <c r="P443" s="45"/>
      <c r="Q443" s="45"/>
      <c r="R443" s="45"/>
      <c r="S443" s="43"/>
      <c r="T443" s="43"/>
      <c r="U443" s="43"/>
      <c r="V443" s="43"/>
      <c r="W443" s="43"/>
      <c r="X443" s="43"/>
      <c r="Y443" s="43"/>
      <c r="Z443" s="43"/>
      <c r="AA443" s="43"/>
      <c r="AB443" s="43"/>
      <c r="AC443" s="43"/>
      <c r="AD443" s="43"/>
      <c r="AE443" s="48"/>
      <c r="AF443" s="48"/>
      <c r="AG443" s="48"/>
      <c r="AH443" s="50"/>
    </row>
    <row r="444" spans="1:34" ht="14.5">
      <c r="A444" s="40">
        <v>2005</v>
      </c>
      <c r="B444" s="41" t="s">
        <v>1012</v>
      </c>
      <c r="C444" s="41" t="s">
        <v>1013</v>
      </c>
      <c r="D444" s="41" t="s">
        <v>363</v>
      </c>
      <c r="E444" s="40">
        <v>12</v>
      </c>
      <c r="H444" s="43"/>
      <c r="I444" s="117" t="e">
        <f t="shared" si="47"/>
        <v>#DIV/0!</v>
      </c>
      <c r="J444" s="43"/>
      <c r="K444" s="44"/>
      <c r="L444" s="45"/>
      <c r="M444" s="43"/>
      <c r="N444" s="46"/>
      <c r="O444" s="46"/>
      <c r="P444" s="45"/>
      <c r="Q444" s="45"/>
      <c r="R444" s="45"/>
      <c r="S444" s="43"/>
      <c r="T444" s="43"/>
      <c r="U444" s="43"/>
      <c r="V444" s="43"/>
      <c r="W444" s="43"/>
      <c r="X444" s="43"/>
      <c r="Y444" s="43"/>
      <c r="Z444" s="43"/>
      <c r="AA444" s="43"/>
      <c r="AB444" s="43"/>
      <c r="AC444" s="43"/>
      <c r="AD444" s="43"/>
      <c r="AE444" s="48"/>
      <c r="AF444" s="48"/>
      <c r="AG444" s="48"/>
      <c r="AH444" s="50"/>
    </row>
    <row r="445" spans="1:34" ht="14.5">
      <c r="A445" s="40">
        <v>2006</v>
      </c>
      <c r="B445" s="41" t="s">
        <v>1012</v>
      </c>
      <c r="C445" s="41" t="s">
        <v>1013</v>
      </c>
      <c r="D445" s="41" t="s">
        <v>363</v>
      </c>
      <c r="E445" s="40">
        <v>12</v>
      </c>
      <c r="H445" s="43"/>
      <c r="I445" s="117" t="e">
        <f t="shared" si="47"/>
        <v>#DIV/0!</v>
      </c>
      <c r="J445" s="43"/>
      <c r="K445" s="44"/>
      <c r="L445" s="45"/>
      <c r="M445" s="43"/>
      <c r="N445" s="46"/>
      <c r="O445" s="46"/>
      <c r="P445" s="45"/>
      <c r="Q445" s="45"/>
      <c r="R445" s="45"/>
      <c r="S445" s="43"/>
      <c r="T445" s="43"/>
      <c r="U445" s="43"/>
      <c r="V445" s="43"/>
      <c r="W445" s="43"/>
      <c r="X445" s="43"/>
      <c r="Y445" s="43"/>
      <c r="Z445" s="43"/>
      <c r="AA445" s="43"/>
      <c r="AB445" s="43"/>
      <c r="AC445" s="43"/>
      <c r="AD445" s="43"/>
      <c r="AE445" s="48"/>
      <c r="AF445" s="48"/>
      <c r="AG445" s="48"/>
      <c r="AH445" s="50"/>
    </row>
    <row r="446" spans="1:34" ht="14.5">
      <c r="A446" s="40">
        <v>2007</v>
      </c>
      <c r="B446" s="41" t="s">
        <v>1012</v>
      </c>
      <c r="C446" s="41" t="s">
        <v>1013</v>
      </c>
      <c r="D446" s="41" t="s">
        <v>363</v>
      </c>
      <c r="E446" s="40">
        <v>12</v>
      </c>
      <c r="H446" s="43"/>
      <c r="I446" s="117" t="e">
        <f t="shared" si="47"/>
        <v>#DIV/0!</v>
      </c>
      <c r="J446" s="43"/>
      <c r="K446" s="44"/>
      <c r="L446" s="45"/>
      <c r="M446" s="43"/>
      <c r="N446" s="46"/>
      <c r="O446" s="46"/>
      <c r="P446" s="45"/>
      <c r="Q446" s="45"/>
      <c r="R446" s="45"/>
      <c r="S446" s="43"/>
      <c r="T446" s="43"/>
      <c r="U446" s="43"/>
      <c r="V446" s="43"/>
      <c r="W446" s="43"/>
      <c r="X446" s="43"/>
      <c r="Y446" s="43"/>
      <c r="Z446" s="43"/>
      <c r="AA446" s="43"/>
      <c r="AB446" s="43"/>
      <c r="AC446" s="43"/>
      <c r="AD446" s="43"/>
      <c r="AE446" s="48"/>
      <c r="AF446" s="48"/>
      <c r="AG446" s="48"/>
      <c r="AH446" s="50"/>
    </row>
    <row r="447" spans="1:34" ht="14.5">
      <c r="A447" s="40">
        <v>2008</v>
      </c>
      <c r="B447" s="41" t="s">
        <v>1012</v>
      </c>
      <c r="C447" s="41" t="s">
        <v>1013</v>
      </c>
      <c r="D447" s="41" t="s">
        <v>363</v>
      </c>
      <c r="E447" s="40">
        <v>12</v>
      </c>
      <c r="H447" s="43"/>
      <c r="I447" s="117" t="e">
        <f t="shared" si="47"/>
        <v>#DIV/0!</v>
      </c>
      <c r="J447" s="43"/>
      <c r="K447" s="44"/>
      <c r="L447" s="45"/>
      <c r="M447" s="43"/>
      <c r="N447" s="46"/>
      <c r="O447" s="46"/>
      <c r="P447" s="45"/>
      <c r="Q447" s="45"/>
      <c r="R447" s="45"/>
      <c r="S447" s="43"/>
      <c r="T447" s="43"/>
      <c r="U447" s="43"/>
      <c r="V447" s="43"/>
      <c r="W447" s="43"/>
      <c r="X447" s="43"/>
      <c r="Y447" s="43"/>
      <c r="Z447" s="43"/>
      <c r="AA447" s="43"/>
      <c r="AB447" s="43"/>
      <c r="AC447" s="43"/>
      <c r="AD447" s="43"/>
      <c r="AE447" s="48"/>
      <c r="AF447" s="48"/>
      <c r="AG447" s="48"/>
      <c r="AH447" s="50"/>
    </row>
    <row r="448" spans="1:34" ht="14.5">
      <c r="A448" s="40">
        <v>2009</v>
      </c>
      <c r="B448" s="41" t="s">
        <v>1012</v>
      </c>
      <c r="C448" s="41" t="s">
        <v>1013</v>
      </c>
      <c r="D448" s="41" t="s">
        <v>363</v>
      </c>
      <c r="E448" s="40">
        <v>12</v>
      </c>
      <c r="H448" s="43"/>
      <c r="I448" s="117" t="e">
        <f t="shared" si="47"/>
        <v>#DIV/0!</v>
      </c>
      <c r="J448" s="43"/>
      <c r="K448" s="44"/>
      <c r="L448" s="45"/>
      <c r="M448" s="43"/>
      <c r="N448" s="46"/>
      <c r="O448" s="46"/>
      <c r="P448" s="45"/>
      <c r="Q448" s="45"/>
      <c r="R448" s="45"/>
      <c r="S448" s="43"/>
      <c r="T448" s="43"/>
      <c r="U448" s="43"/>
      <c r="V448" s="43"/>
      <c r="W448" s="43"/>
      <c r="X448" s="43"/>
      <c r="Y448" s="43"/>
      <c r="Z448" s="43"/>
      <c r="AA448" s="43"/>
      <c r="AB448" s="43"/>
      <c r="AC448" s="43"/>
      <c r="AD448" s="43"/>
      <c r="AE448" s="48"/>
      <c r="AF448" s="48"/>
      <c r="AG448" s="48"/>
      <c r="AH448" s="50"/>
    </row>
    <row r="449" spans="1:34" ht="14.5">
      <c r="A449" s="40">
        <v>2010</v>
      </c>
      <c r="B449" s="41" t="s">
        <v>1012</v>
      </c>
      <c r="C449" s="41" t="s">
        <v>1013</v>
      </c>
      <c r="D449" s="41" t="s">
        <v>363</v>
      </c>
      <c r="E449" s="40">
        <v>12</v>
      </c>
      <c r="H449" s="43"/>
      <c r="I449" s="117" t="e">
        <f t="shared" si="47"/>
        <v>#DIV/0!</v>
      </c>
      <c r="J449" s="43"/>
      <c r="K449" s="44"/>
      <c r="L449" s="45"/>
      <c r="M449" s="43"/>
      <c r="N449" s="46"/>
      <c r="O449" s="46"/>
      <c r="P449" s="45"/>
      <c r="Q449" s="45"/>
      <c r="R449" s="45"/>
      <c r="S449" s="43"/>
      <c r="T449" s="43"/>
      <c r="U449" s="43"/>
      <c r="V449" s="43"/>
      <c r="W449" s="43"/>
      <c r="X449" s="43"/>
      <c r="Y449" s="43"/>
      <c r="Z449" s="43"/>
      <c r="AA449" s="43"/>
      <c r="AB449" s="43"/>
      <c r="AC449" s="43"/>
      <c r="AD449" s="43"/>
      <c r="AE449" s="48"/>
      <c r="AF449" s="48"/>
      <c r="AG449" s="48"/>
      <c r="AH449" s="50"/>
    </row>
    <row r="450" spans="1:34" ht="14.5">
      <c r="A450" s="40">
        <v>2011</v>
      </c>
      <c r="B450" s="41" t="s">
        <v>1012</v>
      </c>
      <c r="C450" s="41" t="s">
        <v>1013</v>
      </c>
      <c r="D450" s="41" t="s">
        <v>363</v>
      </c>
      <c r="E450" s="40">
        <v>12</v>
      </c>
      <c r="H450" s="43"/>
      <c r="I450" s="117" t="e">
        <f t="shared" si="47"/>
        <v>#DIV/0!</v>
      </c>
      <c r="J450" s="43"/>
      <c r="K450" s="44"/>
      <c r="L450" s="45"/>
      <c r="M450" s="43"/>
      <c r="N450" s="46"/>
      <c r="O450" s="46"/>
      <c r="P450" s="45"/>
      <c r="Q450" s="45"/>
      <c r="R450" s="45"/>
      <c r="S450" s="43"/>
      <c r="T450" s="43"/>
      <c r="U450" s="43"/>
      <c r="V450" s="43"/>
      <c r="W450" s="43"/>
      <c r="X450" s="43"/>
      <c r="Y450" s="43"/>
      <c r="Z450" s="43"/>
      <c r="AA450" s="43"/>
      <c r="AB450" s="43"/>
      <c r="AC450" s="43"/>
      <c r="AD450" s="43"/>
      <c r="AE450" s="48"/>
      <c r="AF450" s="48"/>
      <c r="AG450" s="48"/>
      <c r="AH450" s="50"/>
    </row>
    <row r="451" spans="1:34" ht="14.5">
      <c r="A451" s="40">
        <v>2012</v>
      </c>
      <c r="B451" s="41" t="s">
        <v>1012</v>
      </c>
      <c r="C451" s="41" t="s">
        <v>1013</v>
      </c>
      <c r="D451" s="41" t="s">
        <v>105</v>
      </c>
      <c r="E451" s="40">
        <v>12</v>
      </c>
      <c r="H451" s="43"/>
      <c r="I451" s="117" t="e">
        <f t="shared" si="47"/>
        <v>#DIV/0!</v>
      </c>
      <c r="J451" s="43"/>
      <c r="K451" s="44"/>
      <c r="L451" s="45"/>
      <c r="M451" s="43"/>
      <c r="N451" s="46"/>
      <c r="O451" s="46"/>
      <c r="P451" s="45"/>
      <c r="Q451" s="45"/>
      <c r="R451" s="45"/>
      <c r="S451" s="43"/>
      <c r="T451" s="43"/>
      <c r="U451" s="43"/>
      <c r="V451" s="43"/>
      <c r="W451" s="43"/>
      <c r="X451" s="43"/>
      <c r="Y451" s="43"/>
      <c r="Z451" s="43"/>
      <c r="AA451" s="43"/>
      <c r="AB451" s="43"/>
      <c r="AC451" s="43"/>
      <c r="AD451" s="43"/>
      <c r="AE451" s="48"/>
      <c r="AF451" s="48"/>
      <c r="AG451" s="48"/>
      <c r="AH451" s="50"/>
    </row>
    <row r="452" spans="1:34" ht="14.5">
      <c r="A452" s="40">
        <v>2013</v>
      </c>
      <c r="B452" s="41" t="s">
        <v>1012</v>
      </c>
      <c r="C452" s="41" t="s">
        <v>1013</v>
      </c>
      <c r="D452" s="41" t="s">
        <v>105</v>
      </c>
      <c r="E452" s="40">
        <v>12</v>
      </c>
      <c r="H452" s="43"/>
      <c r="I452" s="117" t="e">
        <f t="shared" si="47"/>
        <v>#DIV/0!</v>
      </c>
      <c r="J452" s="43"/>
      <c r="K452" s="44"/>
      <c r="L452" s="45"/>
      <c r="M452" s="43"/>
      <c r="N452" s="46"/>
      <c r="O452" s="46"/>
      <c r="P452" s="45"/>
      <c r="Q452" s="45"/>
      <c r="R452" s="45"/>
      <c r="S452" s="43"/>
      <c r="T452" s="43"/>
      <c r="U452" s="43"/>
      <c r="V452" s="43"/>
      <c r="W452" s="43"/>
      <c r="X452" s="43"/>
      <c r="Y452" s="43"/>
      <c r="Z452" s="43"/>
      <c r="AA452" s="43"/>
      <c r="AB452" s="43"/>
      <c r="AC452" s="43"/>
      <c r="AD452" s="43"/>
      <c r="AE452" s="48"/>
      <c r="AF452" s="48"/>
      <c r="AG452" s="48"/>
      <c r="AH452" s="50"/>
    </row>
    <row r="453" spans="1:34" ht="14.5">
      <c r="A453" s="40">
        <v>2014</v>
      </c>
      <c r="B453" s="41" t="s">
        <v>1012</v>
      </c>
      <c r="C453" s="41" t="s">
        <v>1013</v>
      </c>
      <c r="D453" s="41" t="s">
        <v>105</v>
      </c>
      <c r="E453" s="40">
        <v>12</v>
      </c>
      <c r="H453" s="43"/>
      <c r="I453" s="117" t="e">
        <f t="shared" si="47"/>
        <v>#DIV/0!</v>
      </c>
      <c r="J453" s="43"/>
      <c r="K453" s="44"/>
      <c r="L453" s="45"/>
      <c r="M453" s="43"/>
      <c r="N453" s="46"/>
      <c r="O453" s="46"/>
      <c r="P453" s="45"/>
      <c r="Q453" s="45"/>
      <c r="R453" s="45"/>
      <c r="S453" s="43"/>
      <c r="T453" s="43"/>
      <c r="U453" s="43"/>
      <c r="V453" s="43"/>
      <c r="W453" s="43"/>
      <c r="X453" s="43"/>
      <c r="Y453" s="43"/>
      <c r="Z453" s="43"/>
      <c r="AA453" s="43"/>
      <c r="AB453" s="43"/>
      <c r="AC453" s="43"/>
      <c r="AD453" s="43"/>
      <c r="AE453" s="48"/>
      <c r="AF453" s="48"/>
      <c r="AG453" s="48"/>
      <c r="AH453" s="50"/>
    </row>
    <row r="454" spans="1:34" ht="14.5">
      <c r="A454" s="40">
        <v>2015</v>
      </c>
      <c r="B454" s="41" t="s">
        <v>1012</v>
      </c>
      <c r="C454" s="41" t="s">
        <v>1013</v>
      </c>
      <c r="D454" s="41" t="s">
        <v>105</v>
      </c>
      <c r="E454" s="40">
        <v>12</v>
      </c>
      <c r="H454" s="43"/>
      <c r="I454" s="117" t="e">
        <f t="shared" si="47"/>
        <v>#DIV/0!</v>
      </c>
      <c r="J454" s="43"/>
      <c r="K454" s="44"/>
      <c r="L454" s="45"/>
      <c r="M454" s="43"/>
      <c r="N454" s="46"/>
      <c r="O454" s="46"/>
      <c r="P454" s="45"/>
      <c r="Q454" s="45"/>
      <c r="R454" s="45"/>
      <c r="S454" s="43"/>
      <c r="T454" s="43"/>
      <c r="U454" s="43"/>
      <c r="V454" s="43"/>
      <c r="W454" s="43"/>
      <c r="X454" s="43"/>
      <c r="Y454" s="43"/>
      <c r="Z454" s="43"/>
      <c r="AA454" s="43"/>
      <c r="AB454" s="43"/>
      <c r="AC454" s="43"/>
      <c r="AD454" s="43"/>
      <c r="AE454" s="48"/>
      <c r="AF454" s="48"/>
      <c r="AG454" s="48"/>
      <c r="AH454" s="50"/>
    </row>
    <row r="455" spans="1:34" ht="14.5">
      <c r="A455" s="40">
        <v>2016</v>
      </c>
      <c r="B455" s="41" t="s">
        <v>1012</v>
      </c>
      <c r="C455" s="41" t="s">
        <v>1013</v>
      </c>
      <c r="D455" s="41" t="s">
        <v>105</v>
      </c>
      <c r="E455" s="40">
        <v>12</v>
      </c>
      <c r="H455" s="43"/>
      <c r="I455" s="117" t="e">
        <f t="shared" si="47"/>
        <v>#DIV/0!</v>
      </c>
      <c r="J455" s="43"/>
      <c r="K455" s="44"/>
      <c r="L455" s="45"/>
      <c r="M455" s="43"/>
      <c r="N455" s="46"/>
      <c r="O455" s="46"/>
      <c r="P455" s="45"/>
      <c r="Q455" s="45"/>
      <c r="R455" s="45"/>
      <c r="S455" s="43"/>
      <c r="T455" s="43"/>
      <c r="U455" s="43"/>
      <c r="V455" s="43"/>
      <c r="W455" s="43"/>
      <c r="X455" s="43"/>
      <c r="Y455" s="43"/>
      <c r="Z455" s="43"/>
      <c r="AA455" s="43"/>
      <c r="AB455" s="43"/>
      <c r="AC455" s="43"/>
      <c r="AD455" s="43"/>
      <c r="AE455" s="48"/>
      <c r="AF455" s="48"/>
      <c r="AG455" s="48"/>
      <c r="AH455" s="50"/>
    </row>
    <row r="456" spans="1:34" ht="14.5">
      <c r="A456" s="40">
        <v>2017</v>
      </c>
      <c r="B456" s="41" t="s">
        <v>1012</v>
      </c>
      <c r="C456" s="41" t="s">
        <v>1013</v>
      </c>
      <c r="D456" s="41" t="s">
        <v>105</v>
      </c>
      <c r="E456" s="40">
        <v>12</v>
      </c>
      <c r="H456" s="43"/>
      <c r="I456" s="117" t="e">
        <f t="shared" si="47"/>
        <v>#DIV/0!</v>
      </c>
      <c r="J456" s="43"/>
      <c r="K456" s="44"/>
      <c r="L456" s="45"/>
      <c r="M456" s="43"/>
      <c r="N456" s="46"/>
      <c r="O456" s="46"/>
      <c r="P456" s="45"/>
      <c r="Q456" s="45"/>
      <c r="R456" s="45"/>
      <c r="S456" s="43"/>
      <c r="T456" s="43"/>
      <c r="U456" s="43"/>
      <c r="V456" s="43"/>
      <c r="W456" s="43"/>
      <c r="X456" s="43"/>
      <c r="Y456" s="43"/>
      <c r="Z456" s="43"/>
      <c r="AA456" s="43"/>
      <c r="AB456" s="43"/>
      <c r="AC456" s="43"/>
      <c r="AD456" s="43"/>
      <c r="AE456" s="48"/>
      <c r="AF456" s="48"/>
      <c r="AG456" s="48"/>
      <c r="AH456" s="50"/>
    </row>
    <row r="457" spans="1:34" ht="14.5">
      <c r="A457" s="40">
        <v>2005</v>
      </c>
      <c r="B457" s="41" t="s">
        <v>1015</v>
      </c>
      <c r="C457" s="41" t="s">
        <v>1016</v>
      </c>
      <c r="D457" s="41" t="s">
        <v>363</v>
      </c>
      <c r="E457" s="40">
        <v>12</v>
      </c>
      <c r="H457" s="43"/>
      <c r="I457" s="117" t="e">
        <f t="shared" si="47"/>
        <v>#DIV/0!</v>
      </c>
      <c r="J457" s="43"/>
      <c r="K457" s="44"/>
      <c r="L457" s="45"/>
      <c r="M457" s="43"/>
      <c r="N457" s="46"/>
      <c r="O457" s="46"/>
      <c r="P457" s="45"/>
      <c r="Q457" s="45"/>
      <c r="R457" s="45"/>
      <c r="S457" s="43"/>
      <c r="T457" s="43"/>
      <c r="U457" s="43"/>
      <c r="V457" s="43"/>
      <c r="W457" s="43"/>
      <c r="X457" s="43"/>
      <c r="Y457" s="43"/>
      <c r="Z457" s="43"/>
      <c r="AA457" s="43"/>
      <c r="AB457" s="43"/>
      <c r="AC457" s="43"/>
      <c r="AD457" s="43"/>
      <c r="AE457" s="48"/>
      <c r="AF457" s="48"/>
      <c r="AG457" s="48"/>
      <c r="AH457" s="50"/>
    </row>
    <row r="458" spans="1:34" ht="14.5">
      <c r="A458" s="40">
        <v>2006</v>
      </c>
      <c r="B458" s="41" t="s">
        <v>1015</v>
      </c>
      <c r="C458" s="41" t="s">
        <v>1016</v>
      </c>
      <c r="D458" s="41" t="s">
        <v>363</v>
      </c>
      <c r="E458" s="40">
        <v>12</v>
      </c>
      <c r="H458" s="43"/>
      <c r="I458" s="117" t="e">
        <f t="shared" si="47"/>
        <v>#DIV/0!</v>
      </c>
      <c r="J458" s="43"/>
      <c r="K458" s="44"/>
      <c r="L458" s="45"/>
      <c r="M458" s="43"/>
      <c r="N458" s="46"/>
      <c r="O458" s="46"/>
      <c r="P458" s="45"/>
      <c r="Q458" s="45"/>
      <c r="R458" s="45"/>
      <c r="S458" s="43"/>
      <c r="T458" s="43"/>
      <c r="U458" s="43"/>
      <c r="V458" s="43"/>
      <c r="W458" s="43"/>
      <c r="X458" s="43"/>
      <c r="Y458" s="43"/>
      <c r="Z458" s="43"/>
      <c r="AA458" s="43"/>
      <c r="AB458" s="43"/>
      <c r="AC458" s="43"/>
      <c r="AD458" s="43"/>
      <c r="AE458" s="48"/>
      <c r="AF458" s="48"/>
      <c r="AG458" s="48"/>
      <c r="AH458" s="50"/>
    </row>
    <row r="459" spans="1:34" ht="14.5">
      <c r="A459" s="40">
        <v>2007</v>
      </c>
      <c r="B459" s="41" t="s">
        <v>1015</v>
      </c>
      <c r="C459" s="41" t="s">
        <v>1016</v>
      </c>
      <c r="D459" s="41" t="s">
        <v>363</v>
      </c>
      <c r="E459" s="40">
        <v>12</v>
      </c>
      <c r="H459" s="43"/>
      <c r="I459" s="117" t="e">
        <f t="shared" si="47"/>
        <v>#DIV/0!</v>
      </c>
      <c r="J459" s="43"/>
      <c r="K459" s="44"/>
      <c r="L459" s="45"/>
      <c r="M459" s="43"/>
      <c r="N459" s="46"/>
      <c r="O459" s="46"/>
      <c r="P459" s="45"/>
      <c r="Q459" s="45"/>
      <c r="R459" s="45"/>
      <c r="S459" s="43"/>
      <c r="T459" s="43"/>
      <c r="U459" s="43"/>
      <c r="V459" s="43"/>
      <c r="W459" s="43"/>
      <c r="X459" s="43"/>
      <c r="Y459" s="43"/>
      <c r="Z459" s="43"/>
      <c r="AA459" s="43"/>
      <c r="AB459" s="43"/>
      <c r="AC459" s="43"/>
      <c r="AD459" s="43"/>
      <c r="AE459" s="48"/>
      <c r="AF459" s="48"/>
      <c r="AG459" s="48"/>
      <c r="AH459" s="50"/>
    </row>
    <row r="460" spans="1:34" ht="14.5">
      <c r="A460" s="40">
        <v>2008</v>
      </c>
      <c r="B460" s="41" t="s">
        <v>1015</v>
      </c>
      <c r="C460" s="41" t="s">
        <v>1016</v>
      </c>
      <c r="D460" s="41" t="s">
        <v>363</v>
      </c>
      <c r="E460" s="40">
        <v>12</v>
      </c>
      <c r="H460" s="43"/>
      <c r="I460" s="117" t="e">
        <f t="shared" si="47"/>
        <v>#DIV/0!</v>
      </c>
      <c r="J460" s="43"/>
      <c r="K460" s="44"/>
      <c r="L460" s="45"/>
      <c r="M460" s="43"/>
      <c r="N460" s="46"/>
      <c r="O460" s="46"/>
      <c r="P460" s="45"/>
      <c r="Q460" s="45"/>
      <c r="R460" s="45"/>
      <c r="S460" s="43"/>
      <c r="T460" s="43"/>
      <c r="U460" s="43"/>
      <c r="V460" s="43"/>
      <c r="W460" s="43"/>
      <c r="X460" s="43"/>
      <c r="Y460" s="43"/>
      <c r="Z460" s="43"/>
      <c r="AA460" s="43"/>
      <c r="AB460" s="43"/>
      <c r="AC460" s="43"/>
      <c r="AD460" s="43"/>
      <c r="AE460" s="48"/>
      <c r="AF460" s="48"/>
      <c r="AG460" s="48"/>
      <c r="AH460" s="50"/>
    </row>
    <row r="461" spans="1:34" ht="14.5">
      <c r="A461" s="40">
        <v>2009</v>
      </c>
      <c r="B461" s="41" t="s">
        <v>1015</v>
      </c>
      <c r="C461" s="41" t="s">
        <v>1016</v>
      </c>
      <c r="D461" s="41" t="s">
        <v>363</v>
      </c>
      <c r="E461" s="40">
        <v>12</v>
      </c>
      <c r="H461" s="43"/>
      <c r="I461" s="117" t="e">
        <f t="shared" si="47"/>
        <v>#DIV/0!</v>
      </c>
      <c r="J461" s="43"/>
      <c r="K461" s="44"/>
      <c r="L461" s="45"/>
      <c r="M461" s="43"/>
      <c r="N461" s="46"/>
      <c r="O461" s="46"/>
      <c r="P461" s="45"/>
      <c r="Q461" s="45"/>
      <c r="R461" s="45"/>
      <c r="S461" s="43"/>
      <c r="T461" s="43"/>
      <c r="U461" s="43"/>
      <c r="V461" s="43"/>
      <c r="W461" s="43"/>
      <c r="X461" s="43"/>
      <c r="Y461" s="43"/>
      <c r="Z461" s="43"/>
      <c r="AA461" s="43"/>
      <c r="AB461" s="43"/>
      <c r="AC461" s="43"/>
      <c r="AD461" s="43"/>
      <c r="AE461" s="48"/>
      <c r="AF461" s="48"/>
      <c r="AG461" s="48"/>
      <c r="AH461" s="50"/>
    </row>
    <row r="462" spans="1:34" ht="14.5">
      <c r="A462" s="40">
        <v>2010</v>
      </c>
      <c r="B462" s="41" t="s">
        <v>1015</v>
      </c>
      <c r="C462" s="41" t="s">
        <v>1016</v>
      </c>
      <c r="D462" s="41" t="s">
        <v>363</v>
      </c>
      <c r="E462" s="40">
        <v>12</v>
      </c>
      <c r="H462" s="43"/>
      <c r="I462" s="117" t="e">
        <f t="shared" si="47"/>
        <v>#DIV/0!</v>
      </c>
      <c r="J462" s="43"/>
      <c r="K462" s="44"/>
      <c r="L462" s="45"/>
      <c r="M462" s="43"/>
      <c r="N462" s="46"/>
      <c r="O462" s="46"/>
      <c r="P462" s="45"/>
      <c r="Q462" s="45"/>
      <c r="R462" s="45"/>
      <c r="S462" s="43"/>
      <c r="T462" s="43"/>
      <c r="U462" s="43"/>
      <c r="V462" s="43"/>
      <c r="W462" s="43"/>
      <c r="X462" s="43"/>
      <c r="Y462" s="43"/>
      <c r="Z462" s="43"/>
      <c r="AA462" s="43"/>
      <c r="AB462" s="43"/>
      <c r="AC462" s="43"/>
      <c r="AD462" s="43"/>
      <c r="AE462" s="48"/>
      <c r="AF462" s="48"/>
      <c r="AG462" s="48"/>
      <c r="AH462" s="50"/>
    </row>
    <row r="463" spans="1:34" ht="14.5">
      <c r="A463" s="40">
        <v>2011</v>
      </c>
      <c r="B463" s="41" t="s">
        <v>1015</v>
      </c>
      <c r="C463" s="41" t="s">
        <v>1016</v>
      </c>
      <c r="D463" s="41" t="s">
        <v>105</v>
      </c>
      <c r="E463" s="40">
        <v>12</v>
      </c>
      <c r="H463" s="43"/>
      <c r="I463" s="117" t="e">
        <f t="shared" si="47"/>
        <v>#DIV/0!</v>
      </c>
      <c r="J463" s="43"/>
      <c r="K463" s="44"/>
      <c r="L463" s="45"/>
      <c r="M463" s="43"/>
      <c r="N463" s="46"/>
      <c r="O463" s="46"/>
      <c r="P463" s="45"/>
      <c r="Q463" s="45"/>
      <c r="R463" s="45"/>
      <c r="S463" s="43"/>
      <c r="T463" s="43"/>
      <c r="U463" s="43"/>
      <c r="V463" s="43"/>
      <c r="W463" s="43"/>
      <c r="X463" s="43"/>
      <c r="Y463" s="43"/>
      <c r="Z463" s="43"/>
      <c r="AA463" s="43"/>
      <c r="AB463" s="43"/>
      <c r="AC463" s="43"/>
      <c r="AD463" s="43"/>
      <c r="AE463" s="48"/>
      <c r="AF463" s="48"/>
      <c r="AG463" s="48"/>
      <c r="AH463" s="50"/>
    </row>
    <row r="464" spans="1:34" ht="14.5">
      <c r="A464" s="40">
        <v>2012</v>
      </c>
      <c r="B464" s="41" t="s">
        <v>1015</v>
      </c>
      <c r="C464" s="41" t="s">
        <v>1016</v>
      </c>
      <c r="D464" s="41" t="s">
        <v>105</v>
      </c>
      <c r="E464" s="40">
        <v>12</v>
      </c>
      <c r="H464" s="43"/>
      <c r="I464" s="117" t="e">
        <f t="shared" si="47"/>
        <v>#DIV/0!</v>
      </c>
      <c r="J464" s="43"/>
      <c r="K464" s="44"/>
      <c r="L464" s="45"/>
      <c r="M464" s="43"/>
      <c r="N464" s="46"/>
      <c r="O464" s="46"/>
      <c r="P464" s="45"/>
      <c r="Q464" s="45"/>
      <c r="R464" s="45"/>
      <c r="S464" s="43"/>
      <c r="T464" s="43"/>
      <c r="U464" s="43"/>
      <c r="V464" s="43"/>
      <c r="W464" s="43"/>
      <c r="X464" s="43"/>
      <c r="Y464" s="43"/>
      <c r="Z464" s="43"/>
      <c r="AA464" s="43"/>
      <c r="AB464" s="43"/>
      <c r="AC464" s="43"/>
      <c r="AD464" s="43"/>
      <c r="AE464" s="48"/>
      <c r="AF464" s="48"/>
      <c r="AG464" s="48"/>
      <c r="AH464" s="50"/>
    </row>
    <row r="465" spans="1:34" ht="14.5">
      <c r="A465" s="40">
        <v>2013</v>
      </c>
      <c r="B465" s="41" t="s">
        <v>1015</v>
      </c>
      <c r="C465" s="41" t="s">
        <v>1016</v>
      </c>
      <c r="D465" s="41" t="s">
        <v>105</v>
      </c>
      <c r="E465" s="40">
        <v>12</v>
      </c>
      <c r="H465" s="43"/>
      <c r="I465" s="117" t="e">
        <f t="shared" si="47"/>
        <v>#DIV/0!</v>
      </c>
      <c r="J465" s="43"/>
      <c r="K465" s="44"/>
      <c r="L465" s="45"/>
      <c r="M465" s="43"/>
      <c r="N465" s="46"/>
      <c r="O465" s="46"/>
      <c r="P465" s="45"/>
      <c r="Q465" s="45"/>
      <c r="R465" s="45"/>
      <c r="S465" s="43"/>
      <c r="T465" s="43"/>
      <c r="U465" s="43"/>
      <c r="V465" s="43"/>
      <c r="W465" s="43"/>
      <c r="X465" s="43"/>
      <c r="Y465" s="43"/>
      <c r="Z465" s="43"/>
      <c r="AA465" s="43"/>
      <c r="AB465" s="43"/>
      <c r="AC465" s="43"/>
      <c r="AD465" s="43"/>
      <c r="AE465" s="48"/>
      <c r="AF465" s="48"/>
      <c r="AG465" s="48"/>
      <c r="AH465" s="50"/>
    </row>
    <row r="466" spans="1:34" ht="14.5">
      <c r="A466" s="40">
        <v>2014</v>
      </c>
      <c r="B466" s="41" t="s">
        <v>1015</v>
      </c>
      <c r="C466" s="41" t="s">
        <v>1016</v>
      </c>
      <c r="D466" s="41" t="s">
        <v>105</v>
      </c>
      <c r="E466" s="40">
        <v>12</v>
      </c>
      <c r="H466" s="43"/>
      <c r="I466" s="117" t="e">
        <f t="shared" si="47"/>
        <v>#DIV/0!</v>
      </c>
      <c r="J466" s="43"/>
      <c r="K466" s="44"/>
      <c r="L466" s="45"/>
      <c r="M466" s="43"/>
      <c r="N466" s="46"/>
      <c r="O466" s="46"/>
      <c r="P466" s="45"/>
      <c r="Q466" s="45"/>
      <c r="R466" s="45"/>
      <c r="S466" s="43"/>
      <c r="T466" s="43"/>
      <c r="U466" s="43"/>
      <c r="V466" s="43"/>
      <c r="W466" s="43"/>
      <c r="X466" s="43"/>
      <c r="Y466" s="43"/>
      <c r="Z466" s="43"/>
      <c r="AA466" s="43"/>
      <c r="AB466" s="43"/>
      <c r="AC466" s="43"/>
      <c r="AD466" s="43"/>
      <c r="AE466" s="48"/>
      <c r="AF466" s="48"/>
      <c r="AG466" s="48"/>
      <c r="AH466" s="50"/>
    </row>
    <row r="467" spans="1:34" ht="14.5">
      <c r="A467" s="40">
        <v>2015</v>
      </c>
      <c r="B467" s="41" t="s">
        <v>1015</v>
      </c>
      <c r="C467" s="41" t="s">
        <v>1016</v>
      </c>
      <c r="D467" s="41" t="s">
        <v>105</v>
      </c>
      <c r="E467" s="40">
        <v>12</v>
      </c>
      <c r="H467" s="43"/>
      <c r="I467" s="117" t="e">
        <f t="shared" si="47"/>
        <v>#DIV/0!</v>
      </c>
      <c r="J467" s="43"/>
      <c r="K467" s="44"/>
      <c r="L467" s="45"/>
      <c r="M467" s="43"/>
      <c r="N467" s="46"/>
      <c r="O467" s="46"/>
      <c r="P467" s="45"/>
      <c r="Q467" s="45"/>
      <c r="R467" s="45"/>
      <c r="S467" s="43"/>
      <c r="T467" s="43"/>
      <c r="U467" s="43"/>
      <c r="V467" s="43"/>
      <c r="W467" s="43"/>
      <c r="X467" s="43"/>
      <c r="Y467" s="43"/>
      <c r="Z467" s="43"/>
      <c r="AA467" s="43"/>
      <c r="AB467" s="43"/>
      <c r="AC467" s="43"/>
      <c r="AD467" s="43"/>
      <c r="AE467" s="48"/>
      <c r="AF467" s="48"/>
      <c r="AG467" s="48"/>
      <c r="AH467" s="50"/>
    </row>
    <row r="468" spans="1:34" ht="14.5">
      <c r="A468" s="40">
        <v>2016</v>
      </c>
      <c r="B468" s="41" t="s">
        <v>1015</v>
      </c>
      <c r="C468" s="41" t="s">
        <v>1016</v>
      </c>
      <c r="D468" s="41" t="s">
        <v>105</v>
      </c>
      <c r="E468" s="40">
        <v>12</v>
      </c>
      <c r="H468" s="43"/>
      <c r="I468" s="117" t="e">
        <f t="shared" si="47"/>
        <v>#DIV/0!</v>
      </c>
      <c r="J468" s="43"/>
      <c r="K468" s="44"/>
      <c r="L468" s="45"/>
      <c r="M468" s="43"/>
      <c r="N468" s="46"/>
      <c r="O468" s="46"/>
      <c r="P468" s="45"/>
      <c r="Q468" s="45"/>
      <c r="R468" s="45"/>
      <c r="S468" s="43"/>
      <c r="T468" s="43"/>
      <c r="U468" s="43"/>
      <c r="V468" s="43"/>
      <c r="W468" s="43"/>
      <c r="X468" s="43"/>
      <c r="Y468" s="43"/>
      <c r="Z468" s="43"/>
      <c r="AA468" s="43"/>
      <c r="AB468" s="43"/>
      <c r="AC468" s="43"/>
      <c r="AD468" s="43"/>
      <c r="AE468" s="48"/>
      <c r="AF468" s="48"/>
      <c r="AG468" s="48"/>
      <c r="AH468" s="50"/>
    </row>
    <row r="469" spans="1:34" ht="14.5">
      <c r="A469" s="40">
        <v>2017</v>
      </c>
      <c r="B469" s="41" t="s">
        <v>1015</v>
      </c>
      <c r="C469" s="41" t="s">
        <v>1016</v>
      </c>
      <c r="D469" s="41" t="s">
        <v>105</v>
      </c>
      <c r="E469" s="40">
        <v>12</v>
      </c>
      <c r="H469" s="43"/>
      <c r="I469" s="117" t="e">
        <f t="shared" si="47"/>
        <v>#DIV/0!</v>
      </c>
      <c r="J469" s="43"/>
      <c r="K469" s="44"/>
      <c r="L469" s="45"/>
      <c r="M469" s="43"/>
      <c r="N469" s="46"/>
      <c r="O469" s="46"/>
      <c r="P469" s="45"/>
      <c r="Q469" s="45"/>
      <c r="R469" s="45"/>
      <c r="S469" s="43"/>
      <c r="T469" s="43"/>
      <c r="U469" s="43"/>
      <c r="V469" s="43"/>
      <c r="W469" s="43"/>
      <c r="X469" s="43"/>
      <c r="Y469" s="43"/>
      <c r="Z469" s="43"/>
      <c r="AA469" s="43"/>
      <c r="AB469" s="43"/>
      <c r="AC469" s="43"/>
      <c r="AD469" s="43"/>
      <c r="AE469" s="48"/>
      <c r="AF469" s="48"/>
      <c r="AG469" s="48"/>
      <c r="AH469" s="50"/>
    </row>
    <row r="470" spans="1:34" ht="14.5">
      <c r="A470" s="40">
        <v>2004</v>
      </c>
      <c r="B470" s="41" t="s">
        <v>1020</v>
      </c>
      <c r="C470" s="41" t="s">
        <v>1021</v>
      </c>
      <c r="D470" s="41" t="s">
        <v>105</v>
      </c>
      <c r="E470" s="40">
        <v>12</v>
      </c>
      <c r="H470" s="43"/>
      <c r="I470" s="117" t="e">
        <f t="shared" si="47"/>
        <v>#DIV/0!</v>
      </c>
      <c r="J470" s="43"/>
      <c r="K470" s="44"/>
      <c r="L470" s="45"/>
      <c r="M470" s="43"/>
      <c r="N470" s="46"/>
      <c r="O470" s="46"/>
      <c r="P470" s="45"/>
      <c r="Q470" s="45"/>
      <c r="R470" s="45"/>
      <c r="S470" s="43"/>
      <c r="T470" s="43"/>
      <c r="U470" s="43"/>
      <c r="V470" s="43"/>
      <c r="W470" s="43"/>
      <c r="X470" s="43"/>
      <c r="Y470" s="43"/>
      <c r="Z470" s="43"/>
      <c r="AA470" s="43"/>
      <c r="AB470" s="43"/>
      <c r="AC470" s="43"/>
      <c r="AD470" s="43"/>
      <c r="AE470" s="48"/>
      <c r="AF470" s="48"/>
      <c r="AG470" s="48"/>
      <c r="AH470" s="50"/>
    </row>
    <row r="471" spans="1:34" ht="14.5">
      <c r="A471" s="40">
        <v>2005</v>
      </c>
      <c r="B471" s="41" t="s">
        <v>1020</v>
      </c>
      <c r="C471" s="41" t="s">
        <v>1021</v>
      </c>
      <c r="D471" s="41" t="s">
        <v>105</v>
      </c>
      <c r="E471" s="40">
        <v>12</v>
      </c>
      <c r="H471" s="43"/>
      <c r="I471" s="117" t="e">
        <f t="shared" si="47"/>
        <v>#DIV/0!</v>
      </c>
      <c r="J471" s="43"/>
      <c r="K471" s="44"/>
      <c r="L471" s="45"/>
      <c r="M471" s="43"/>
      <c r="N471" s="46"/>
      <c r="O471" s="46"/>
      <c r="P471" s="45"/>
      <c r="Q471" s="45"/>
      <c r="R471" s="45"/>
      <c r="S471" s="43"/>
      <c r="T471" s="43"/>
      <c r="U471" s="43"/>
      <c r="V471" s="43"/>
      <c r="W471" s="43"/>
      <c r="X471" s="43"/>
      <c r="Y471" s="43"/>
      <c r="Z471" s="43"/>
      <c r="AA471" s="43"/>
      <c r="AB471" s="43"/>
      <c r="AC471" s="43"/>
      <c r="AD471" s="43"/>
      <c r="AE471" s="48"/>
      <c r="AF471" s="48"/>
      <c r="AG471" s="48"/>
      <c r="AH471" s="50"/>
    </row>
    <row r="472" spans="1:34" ht="14.5">
      <c r="A472" s="40">
        <v>2006</v>
      </c>
      <c r="B472" s="41" t="s">
        <v>1020</v>
      </c>
      <c r="C472" s="41" t="s">
        <v>1021</v>
      </c>
      <c r="D472" s="41" t="s">
        <v>105</v>
      </c>
      <c r="E472" s="40">
        <v>12</v>
      </c>
      <c r="H472" s="43"/>
      <c r="I472" s="117" t="e">
        <f t="shared" si="47"/>
        <v>#DIV/0!</v>
      </c>
      <c r="J472" s="43"/>
      <c r="K472" s="44"/>
      <c r="L472" s="45"/>
      <c r="M472" s="43"/>
      <c r="N472" s="46"/>
      <c r="O472" s="46"/>
      <c r="P472" s="45"/>
      <c r="Q472" s="45"/>
      <c r="R472" s="45"/>
      <c r="S472" s="43"/>
      <c r="T472" s="43"/>
      <c r="U472" s="43"/>
      <c r="V472" s="43"/>
      <c r="W472" s="43"/>
      <c r="X472" s="43"/>
      <c r="Y472" s="43"/>
      <c r="Z472" s="43"/>
      <c r="AA472" s="43"/>
      <c r="AB472" s="43"/>
      <c r="AC472" s="43"/>
      <c r="AD472" s="43"/>
      <c r="AE472" s="48"/>
      <c r="AF472" s="48"/>
      <c r="AG472" s="48"/>
      <c r="AH472" s="50"/>
    </row>
    <row r="473" spans="1:34" ht="14.5">
      <c r="A473" s="40">
        <v>2007</v>
      </c>
      <c r="B473" s="41" t="s">
        <v>1020</v>
      </c>
      <c r="C473" s="41" t="s">
        <v>1021</v>
      </c>
      <c r="D473" s="41" t="s">
        <v>105</v>
      </c>
      <c r="E473" s="40">
        <v>12</v>
      </c>
      <c r="H473" s="43"/>
      <c r="I473" s="117" t="e">
        <f t="shared" si="47"/>
        <v>#DIV/0!</v>
      </c>
      <c r="J473" s="43"/>
      <c r="K473" s="44"/>
      <c r="L473" s="45"/>
      <c r="M473" s="43"/>
      <c r="N473" s="46"/>
      <c r="O473" s="46"/>
      <c r="P473" s="45"/>
      <c r="Q473" s="45"/>
      <c r="R473" s="45"/>
      <c r="S473" s="43"/>
      <c r="T473" s="43"/>
      <c r="U473" s="43"/>
      <c r="V473" s="43"/>
      <c r="W473" s="43"/>
      <c r="X473" s="43"/>
      <c r="Y473" s="43"/>
      <c r="Z473" s="43"/>
      <c r="AA473" s="43"/>
      <c r="AB473" s="43"/>
      <c r="AC473" s="43"/>
      <c r="AD473" s="43"/>
      <c r="AE473" s="48"/>
      <c r="AF473" s="48"/>
      <c r="AG473" s="48"/>
      <c r="AH473" s="50"/>
    </row>
    <row r="474" spans="1:34" ht="14.5">
      <c r="A474" s="40">
        <v>2008</v>
      </c>
      <c r="B474" s="41" t="s">
        <v>1020</v>
      </c>
      <c r="C474" s="41" t="s">
        <v>1021</v>
      </c>
      <c r="D474" s="41" t="s">
        <v>105</v>
      </c>
      <c r="E474" s="40">
        <v>12</v>
      </c>
      <c r="H474" s="43"/>
      <c r="I474" s="117" t="e">
        <f t="shared" si="47"/>
        <v>#DIV/0!</v>
      </c>
      <c r="J474" s="43"/>
      <c r="K474" s="44"/>
      <c r="L474" s="45"/>
      <c r="M474" s="43"/>
      <c r="N474" s="46"/>
      <c r="O474" s="46"/>
      <c r="P474" s="45"/>
      <c r="Q474" s="45"/>
      <c r="R474" s="45"/>
      <c r="S474" s="43"/>
      <c r="T474" s="43"/>
      <c r="U474" s="43"/>
      <c r="V474" s="43"/>
      <c r="W474" s="43"/>
      <c r="X474" s="43"/>
      <c r="Y474" s="43"/>
      <c r="Z474" s="43"/>
      <c r="AA474" s="43"/>
      <c r="AB474" s="43"/>
      <c r="AC474" s="43"/>
      <c r="AD474" s="43"/>
      <c r="AE474" s="48"/>
      <c r="AF474" s="48"/>
      <c r="AG474" s="48"/>
      <c r="AH474" s="50"/>
    </row>
    <row r="475" spans="1:34" ht="14.5">
      <c r="A475" s="40">
        <v>2009</v>
      </c>
      <c r="B475" s="41" t="s">
        <v>1020</v>
      </c>
      <c r="C475" s="41" t="s">
        <v>1021</v>
      </c>
      <c r="D475" s="41" t="s">
        <v>105</v>
      </c>
      <c r="E475" s="40">
        <v>12</v>
      </c>
      <c r="H475" s="43"/>
      <c r="I475" s="117" t="e">
        <f t="shared" si="47"/>
        <v>#DIV/0!</v>
      </c>
      <c r="J475" s="43"/>
      <c r="K475" s="44"/>
      <c r="L475" s="45"/>
      <c r="M475" s="43"/>
      <c r="N475" s="46"/>
      <c r="O475" s="46"/>
      <c r="P475" s="45"/>
      <c r="Q475" s="45"/>
      <c r="R475" s="45"/>
      <c r="S475" s="43"/>
      <c r="T475" s="43"/>
      <c r="U475" s="43"/>
      <c r="V475" s="43"/>
      <c r="W475" s="43"/>
      <c r="X475" s="43"/>
      <c r="Y475" s="43"/>
      <c r="Z475" s="43"/>
      <c r="AA475" s="43"/>
      <c r="AB475" s="43"/>
      <c r="AC475" s="43"/>
      <c r="AD475" s="43"/>
      <c r="AE475" s="48"/>
      <c r="AF475" s="48"/>
      <c r="AG475" s="48"/>
      <c r="AH475" s="50"/>
    </row>
    <row r="476" spans="1:34" ht="14.5">
      <c r="A476" s="40">
        <v>2010</v>
      </c>
      <c r="B476" s="41" t="s">
        <v>1020</v>
      </c>
      <c r="C476" s="41" t="s">
        <v>1021</v>
      </c>
      <c r="D476" s="41" t="s">
        <v>105</v>
      </c>
      <c r="E476" s="40">
        <v>12</v>
      </c>
      <c r="H476" s="43"/>
      <c r="I476" s="117" t="e">
        <f t="shared" si="47"/>
        <v>#DIV/0!</v>
      </c>
      <c r="J476" s="43"/>
      <c r="K476" s="44"/>
      <c r="L476" s="45"/>
      <c r="M476" s="43"/>
      <c r="N476" s="46"/>
      <c r="O476" s="46"/>
      <c r="P476" s="45"/>
      <c r="Q476" s="45"/>
      <c r="R476" s="45"/>
      <c r="S476" s="43"/>
      <c r="T476" s="43"/>
      <c r="U476" s="43"/>
      <c r="V476" s="43"/>
      <c r="W476" s="43"/>
      <c r="X476" s="43"/>
      <c r="Y476" s="43"/>
      <c r="Z476" s="43"/>
      <c r="AA476" s="43"/>
      <c r="AB476" s="43"/>
      <c r="AC476" s="43"/>
      <c r="AD476" s="43"/>
      <c r="AE476" s="48"/>
      <c r="AF476" s="48"/>
      <c r="AG476" s="48"/>
      <c r="AH476" s="50"/>
    </row>
    <row r="477" spans="1:34" ht="14.5">
      <c r="A477" s="40">
        <v>2011</v>
      </c>
      <c r="B477" s="41" t="s">
        <v>1020</v>
      </c>
      <c r="C477" s="41" t="s">
        <v>1021</v>
      </c>
      <c r="D477" s="41" t="s">
        <v>105</v>
      </c>
      <c r="E477" s="40">
        <v>12</v>
      </c>
      <c r="H477" s="43"/>
      <c r="I477" s="117" t="e">
        <f t="shared" si="47"/>
        <v>#DIV/0!</v>
      </c>
      <c r="J477" s="43"/>
      <c r="K477" s="44"/>
      <c r="L477" s="45"/>
      <c r="M477" s="43"/>
      <c r="N477" s="46"/>
      <c r="O477" s="46"/>
      <c r="P477" s="45"/>
      <c r="Q477" s="45"/>
      <c r="R477" s="45"/>
      <c r="S477" s="43"/>
      <c r="T477" s="43"/>
      <c r="U477" s="43"/>
      <c r="V477" s="43"/>
      <c r="W477" s="43"/>
      <c r="X477" s="43"/>
      <c r="Y477" s="43"/>
      <c r="Z477" s="43"/>
      <c r="AA477" s="43"/>
      <c r="AB477" s="43"/>
      <c r="AC477" s="43"/>
      <c r="AD477" s="43"/>
      <c r="AE477" s="48"/>
      <c r="AF477" s="48"/>
      <c r="AG477" s="48"/>
      <c r="AH477" s="50"/>
    </row>
    <row r="478" spans="1:34" ht="14.5">
      <c r="A478" s="40">
        <v>2012</v>
      </c>
      <c r="B478" s="41" t="s">
        <v>1020</v>
      </c>
      <c r="C478" s="41" t="s">
        <v>1021</v>
      </c>
      <c r="D478" s="41" t="s">
        <v>105</v>
      </c>
      <c r="E478" s="40">
        <v>12</v>
      </c>
      <c r="H478" s="43"/>
      <c r="I478" s="117" t="e">
        <f t="shared" si="47"/>
        <v>#DIV/0!</v>
      </c>
      <c r="J478" s="43"/>
      <c r="K478" s="44"/>
      <c r="L478" s="45"/>
      <c r="M478" s="43"/>
      <c r="N478" s="46"/>
      <c r="O478" s="46"/>
      <c r="P478" s="45"/>
      <c r="Q478" s="45"/>
      <c r="R478" s="45"/>
      <c r="S478" s="43"/>
      <c r="T478" s="43"/>
      <c r="U478" s="43"/>
      <c r="V478" s="43"/>
      <c r="W478" s="43"/>
      <c r="X478" s="43"/>
      <c r="Y478" s="43"/>
      <c r="Z478" s="43"/>
      <c r="AA478" s="43"/>
      <c r="AB478" s="43"/>
      <c r="AC478" s="43"/>
      <c r="AD478" s="43"/>
      <c r="AE478" s="48"/>
      <c r="AF478" s="48"/>
      <c r="AG478" s="48"/>
      <c r="AH478" s="50"/>
    </row>
    <row r="479" spans="1:34" ht="14.5">
      <c r="A479" s="40">
        <v>2013</v>
      </c>
      <c r="B479" s="41" t="s">
        <v>1020</v>
      </c>
      <c r="C479" s="41" t="s">
        <v>1021</v>
      </c>
      <c r="D479" s="41" t="s">
        <v>105</v>
      </c>
      <c r="E479" s="40">
        <v>12</v>
      </c>
      <c r="H479" s="43"/>
      <c r="I479" s="117" t="e">
        <f t="shared" si="47"/>
        <v>#DIV/0!</v>
      </c>
      <c r="J479" s="43"/>
      <c r="K479" s="44"/>
      <c r="L479" s="45"/>
      <c r="M479" s="43"/>
      <c r="N479" s="46"/>
      <c r="O479" s="46"/>
      <c r="P479" s="45"/>
      <c r="Q479" s="45"/>
      <c r="R479" s="45"/>
      <c r="S479" s="43"/>
      <c r="T479" s="43"/>
      <c r="U479" s="43"/>
      <c r="V479" s="43"/>
      <c r="W479" s="43"/>
      <c r="X479" s="43"/>
      <c r="Y479" s="43"/>
      <c r="Z479" s="43"/>
      <c r="AA479" s="43"/>
      <c r="AB479" s="43"/>
      <c r="AC479" s="43"/>
      <c r="AD479" s="43"/>
      <c r="AE479" s="48"/>
      <c r="AF479" s="48"/>
      <c r="AG479" s="48"/>
      <c r="AH479" s="50"/>
    </row>
    <row r="480" spans="1:34" ht="14.5">
      <c r="A480" s="40">
        <v>2014</v>
      </c>
      <c r="B480" s="41" t="s">
        <v>1020</v>
      </c>
      <c r="C480" s="41" t="s">
        <v>1021</v>
      </c>
      <c r="D480" s="41" t="s">
        <v>105</v>
      </c>
      <c r="E480" s="40">
        <v>12</v>
      </c>
      <c r="H480" s="43"/>
      <c r="I480" s="117" t="e">
        <f t="shared" si="47"/>
        <v>#DIV/0!</v>
      </c>
      <c r="J480" s="43"/>
      <c r="K480" s="44"/>
      <c r="L480" s="45"/>
      <c r="M480" s="43"/>
      <c r="N480" s="46"/>
      <c r="O480" s="46"/>
      <c r="P480" s="45"/>
      <c r="Q480" s="45"/>
      <c r="R480" s="45"/>
      <c r="S480" s="43"/>
      <c r="T480" s="43"/>
      <c r="U480" s="43"/>
      <c r="V480" s="43"/>
      <c r="W480" s="43"/>
      <c r="X480" s="43"/>
      <c r="Y480" s="43"/>
      <c r="Z480" s="43"/>
      <c r="AA480" s="43"/>
      <c r="AB480" s="43"/>
      <c r="AC480" s="43"/>
      <c r="AD480" s="43"/>
      <c r="AE480" s="48"/>
      <c r="AF480" s="48"/>
      <c r="AG480" s="48"/>
      <c r="AH480" s="50"/>
    </row>
    <row r="481" spans="1:34" ht="14.5">
      <c r="A481" s="40">
        <v>2015</v>
      </c>
      <c r="B481" s="41" t="s">
        <v>1020</v>
      </c>
      <c r="C481" s="41" t="s">
        <v>1021</v>
      </c>
      <c r="D481" s="41" t="s">
        <v>105</v>
      </c>
      <c r="E481" s="40">
        <v>12</v>
      </c>
      <c r="H481" s="43"/>
      <c r="I481" s="117" t="e">
        <f t="shared" si="47"/>
        <v>#DIV/0!</v>
      </c>
      <c r="J481" s="43"/>
      <c r="K481" s="44"/>
      <c r="L481" s="45"/>
      <c r="M481" s="43"/>
      <c r="N481" s="46"/>
      <c r="O481" s="46"/>
      <c r="P481" s="45"/>
      <c r="Q481" s="45"/>
      <c r="R481" s="45"/>
      <c r="S481" s="43"/>
      <c r="T481" s="43"/>
      <c r="U481" s="43"/>
      <c r="V481" s="43"/>
      <c r="W481" s="43"/>
      <c r="X481" s="43"/>
      <c r="Y481" s="43"/>
      <c r="Z481" s="43"/>
      <c r="AA481" s="43"/>
      <c r="AB481" s="43"/>
      <c r="AC481" s="43"/>
      <c r="AD481" s="43"/>
      <c r="AE481" s="48"/>
      <c r="AF481" s="48"/>
      <c r="AG481" s="48"/>
      <c r="AH481" s="50"/>
    </row>
    <row r="482" spans="1:34" ht="14.5">
      <c r="A482" s="40">
        <v>2016</v>
      </c>
      <c r="B482" s="41" t="s">
        <v>1020</v>
      </c>
      <c r="C482" s="41" t="s">
        <v>1021</v>
      </c>
      <c r="D482" s="41" t="s">
        <v>105</v>
      </c>
      <c r="E482" s="40">
        <v>12</v>
      </c>
      <c r="H482" s="43"/>
      <c r="I482" s="117" t="e">
        <f t="shared" si="47"/>
        <v>#DIV/0!</v>
      </c>
      <c r="J482" s="43"/>
      <c r="K482" s="44"/>
      <c r="L482" s="45"/>
      <c r="M482" s="43"/>
      <c r="N482" s="46"/>
      <c r="O482" s="46"/>
      <c r="P482" s="45"/>
      <c r="Q482" s="45"/>
      <c r="R482" s="45"/>
      <c r="S482" s="43"/>
      <c r="T482" s="43"/>
      <c r="U482" s="43"/>
      <c r="V482" s="43"/>
      <c r="W482" s="43"/>
      <c r="X482" s="43"/>
      <c r="Y482" s="43"/>
      <c r="Z482" s="43"/>
      <c r="AA482" s="43"/>
      <c r="AB482" s="43"/>
      <c r="AC482" s="43"/>
      <c r="AD482" s="43"/>
      <c r="AE482" s="48"/>
      <c r="AF482" s="48"/>
      <c r="AG482" s="48"/>
      <c r="AH482" s="50"/>
    </row>
    <row r="483" spans="1:34" ht="14.5">
      <c r="A483" s="40">
        <v>2017</v>
      </c>
      <c r="B483" s="41" t="s">
        <v>1020</v>
      </c>
      <c r="C483" s="41" t="s">
        <v>1021</v>
      </c>
      <c r="D483" s="41" t="s">
        <v>105</v>
      </c>
      <c r="E483" s="40">
        <v>12</v>
      </c>
      <c r="H483" s="43"/>
      <c r="I483" s="117" t="e">
        <f t="shared" si="47"/>
        <v>#DIV/0!</v>
      </c>
      <c r="J483" s="43"/>
      <c r="K483" s="44"/>
      <c r="L483" s="45"/>
      <c r="M483" s="43"/>
      <c r="N483" s="46"/>
      <c r="O483" s="46"/>
      <c r="P483" s="45"/>
      <c r="Q483" s="45"/>
      <c r="R483" s="45"/>
      <c r="S483" s="43"/>
      <c r="T483" s="43"/>
      <c r="U483" s="43"/>
      <c r="V483" s="43"/>
      <c r="W483" s="43"/>
      <c r="X483" s="43"/>
      <c r="Y483" s="43"/>
      <c r="Z483" s="43"/>
      <c r="AA483" s="43"/>
      <c r="AB483" s="43"/>
      <c r="AC483" s="43"/>
      <c r="AD483" s="43"/>
      <c r="AE483" s="48"/>
      <c r="AF483" s="48"/>
      <c r="AG483" s="48"/>
      <c r="AH483" s="50"/>
    </row>
    <row r="484" spans="1:34" ht="14.5">
      <c r="A484" s="40">
        <v>2007</v>
      </c>
      <c r="B484" s="41" t="s">
        <v>1029</v>
      </c>
      <c r="C484" s="41" t="s">
        <v>1030</v>
      </c>
      <c r="D484" s="41" t="s">
        <v>363</v>
      </c>
      <c r="E484" s="40">
        <v>12</v>
      </c>
      <c r="H484" s="43"/>
      <c r="I484" s="117" t="e">
        <f t="shared" si="47"/>
        <v>#DIV/0!</v>
      </c>
      <c r="J484" s="43"/>
      <c r="K484" s="44"/>
      <c r="L484" s="45"/>
      <c r="M484" s="43"/>
      <c r="N484" s="46"/>
      <c r="O484" s="46"/>
      <c r="P484" s="45"/>
      <c r="Q484" s="45"/>
      <c r="R484" s="45"/>
      <c r="S484" s="43"/>
      <c r="T484" s="43"/>
      <c r="U484" s="43"/>
      <c r="V484" s="43"/>
      <c r="W484" s="43"/>
      <c r="X484" s="43"/>
      <c r="Y484" s="43"/>
      <c r="Z484" s="43"/>
      <c r="AA484" s="43"/>
      <c r="AB484" s="43"/>
      <c r="AC484" s="43"/>
      <c r="AD484" s="43"/>
      <c r="AE484" s="48"/>
      <c r="AF484" s="48"/>
      <c r="AG484" s="48"/>
      <c r="AH484" s="50"/>
    </row>
    <row r="485" spans="1:34" ht="14.5">
      <c r="A485" s="40">
        <v>2008</v>
      </c>
      <c r="B485" s="41" t="s">
        <v>1029</v>
      </c>
      <c r="C485" s="41" t="s">
        <v>1030</v>
      </c>
      <c r="D485" s="41" t="s">
        <v>363</v>
      </c>
      <c r="E485" s="40">
        <v>12</v>
      </c>
      <c r="H485" s="43"/>
      <c r="I485" s="117" t="e">
        <f t="shared" si="47"/>
        <v>#DIV/0!</v>
      </c>
      <c r="J485" s="43"/>
      <c r="K485" s="44"/>
      <c r="L485" s="45"/>
      <c r="M485" s="43"/>
      <c r="N485" s="46"/>
      <c r="O485" s="46"/>
      <c r="P485" s="45"/>
      <c r="Q485" s="45"/>
      <c r="R485" s="45"/>
      <c r="S485" s="43"/>
      <c r="T485" s="43"/>
      <c r="U485" s="43"/>
      <c r="V485" s="43"/>
      <c r="W485" s="43"/>
      <c r="X485" s="43"/>
      <c r="Y485" s="43"/>
      <c r="Z485" s="43"/>
      <c r="AA485" s="43"/>
      <c r="AB485" s="43"/>
      <c r="AC485" s="43"/>
      <c r="AD485" s="43"/>
      <c r="AE485" s="48"/>
      <c r="AF485" s="48"/>
      <c r="AG485" s="48"/>
      <c r="AH485" s="50"/>
    </row>
    <row r="486" spans="1:34" ht="14.5">
      <c r="A486" s="40">
        <v>2009</v>
      </c>
      <c r="B486" s="41" t="s">
        <v>1029</v>
      </c>
      <c r="C486" s="41" t="s">
        <v>1030</v>
      </c>
      <c r="D486" s="41" t="s">
        <v>363</v>
      </c>
      <c r="E486" s="40">
        <v>12</v>
      </c>
      <c r="H486" s="43"/>
      <c r="I486" s="117" t="e">
        <f t="shared" si="47"/>
        <v>#DIV/0!</v>
      </c>
      <c r="J486" s="43"/>
      <c r="K486" s="44"/>
      <c r="L486" s="45"/>
      <c r="M486" s="43"/>
      <c r="N486" s="46"/>
      <c r="O486" s="46"/>
      <c r="P486" s="45"/>
      <c r="Q486" s="45"/>
      <c r="R486" s="45"/>
      <c r="S486" s="43"/>
      <c r="T486" s="43"/>
      <c r="U486" s="43"/>
      <c r="V486" s="43"/>
      <c r="W486" s="43"/>
      <c r="X486" s="43"/>
      <c r="Y486" s="43"/>
      <c r="Z486" s="43"/>
      <c r="AA486" s="43"/>
      <c r="AB486" s="43"/>
      <c r="AC486" s="43"/>
      <c r="AD486" s="43"/>
      <c r="AE486" s="48"/>
      <c r="AF486" s="48"/>
      <c r="AG486" s="48"/>
      <c r="AH486" s="50"/>
    </row>
    <row r="487" spans="1:34" ht="14.5">
      <c r="A487" s="40">
        <v>2010</v>
      </c>
      <c r="B487" s="41" t="s">
        <v>1029</v>
      </c>
      <c r="C487" s="41" t="s">
        <v>1030</v>
      </c>
      <c r="D487" s="41" t="s">
        <v>363</v>
      </c>
      <c r="E487" s="40">
        <v>12</v>
      </c>
      <c r="H487" s="43"/>
      <c r="I487" s="117" t="e">
        <f t="shared" si="47"/>
        <v>#DIV/0!</v>
      </c>
      <c r="J487" s="43"/>
      <c r="K487" s="44"/>
      <c r="L487" s="45"/>
      <c r="M487" s="43"/>
      <c r="N487" s="46"/>
      <c r="O487" s="46"/>
      <c r="P487" s="45"/>
      <c r="Q487" s="45"/>
      <c r="R487" s="45"/>
      <c r="S487" s="43"/>
      <c r="T487" s="43"/>
      <c r="U487" s="43"/>
      <c r="V487" s="43"/>
      <c r="W487" s="43"/>
      <c r="X487" s="43"/>
      <c r="Y487" s="43"/>
      <c r="Z487" s="43"/>
      <c r="AA487" s="43"/>
      <c r="AB487" s="43"/>
      <c r="AC487" s="43"/>
      <c r="AD487" s="43"/>
      <c r="AE487" s="48"/>
      <c r="AF487" s="48"/>
      <c r="AG487" s="48"/>
      <c r="AH487" s="50"/>
    </row>
    <row r="488" spans="1:34" ht="14.5">
      <c r="A488" s="40">
        <v>2011</v>
      </c>
      <c r="B488" s="41" t="s">
        <v>1029</v>
      </c>
      <c r="C488" s="41" t="s">
        <v>1030</v>
      </c>
      <c r="D488" s="41" t="s">
        <v>105</v>
      </c>
      <c r="E488" s="40">
        <v>12</v>
      </c>
      <c r="H488" s="43"/>
      <c r="I488" s="117" t="e">
        <f t="shared" si="47"/>
        <v>#DIV/0!</v>
      </c>
      <c r="J488" s="43"/>
      <c r="K488" s="44"/>
      <c r="L488" s="45"/>
      <c r="M488" s="43"/>
      <c r="N488" s="46"/>
      <c r="O488" s="46"/>
      <c r="P488" s="45"/>
      <c r="Q488" s="45"/>
      <c r="R488" s="45"/>
      <c r="S488" s="43"/>
      <c r="T488" s="43"/>
      <c r="U488" s="43"/>
      <c r="V488" s="43"/>
      <c r="W488" s="43"/>
      <c r="X488" s="43"/>
      <c r="Y488" s="43"/>
      <c r="Z488" s="43"/>
      <c r="AA488" s="43"/>
      <c r="AB488" s="43"/>
      <c r="AC488" s="43"/>
      <c r="AD488" s="43"/>
      <c r="AE488" s="48"/>
      <c r="AF488" s="48"/>
      <c r="AG488" s="48"/>
      <c r="AH488" s="50"/>
    </row>
    <row r="489" spans="1:34" ht="14.5">
      <c r="A489" s="40">
        <v>2012</v>
      </c>
      <c r="B489" s="41" t="s">
        <v>1029</v>
      </c>
      <c r="C489" s="41" t="s">
        <v>1030</v>
      </c>
      <c r="D489" s="41" t="s">
        <v>105</v>
      </c>
      <c r="E489" s="40">
        <v>12</v>
      </c>
      <c r="H489" s="43"/>
      <c r="I489" s="117" t="e">
        <f t="shared" si="47"/>
        <v>#DIV/0!</v>
      </c>
      <c r="J489" s="43"/>
      <c r="K489" s="44"/>
      <c r="L489" s="45"/>
      <c r="M489" s="43"/>
      <c r="N489" s="46"/>
      <c r="O489" s="46"/>
      <c r="P489" s="45"/>
      <c r="Q489" s="45"/>
      <c r="R489" s="45"/>
      <c r="S489" s="43"/>
      <c r="T489" s="43"/>
      <c r="U489" s="43"/>
      <c r="V489" s="43"/>
      <c r="W489" s="43"/>
      <c r="X489" s="43"/>
      <c r="Y489" s="43"/>
      <c r="Z489" s="43"/>
      <c r="AA489" s="43"/>
      <c r="AB489" s="43"/>
      <c r="AC489" s="43"/>
      <c r="AD489" s="43"/>
      <c r="AE489" s="48"/>
      <c r="AF489" s="48"/>
      <c r="AG489" s="48"/>
      <c r="AH489" s="50"/>
    </row>
    <row r="490" spans="1:34" ht="14.5">
      <c r="A490" s="40">
        <v>2013</v>
      </c>
      <c r="B490" s="41" t="s">
        <v>1029</v>
      </c>
      <c r="C490" s="41" t="s">
        <v>1030</v>
      </c>
      <c r="D490" s="41" t="s">
        <v>105</v>
      </c>
      <c r="E490" s="40">
        <v>12</v>
      </c>
      <c r="H490" s="43"/>
      <c r="I490" s="117" t="e">
        <f t="shared" si="47"/>
        <v>#DIV/0!</v>
      </c>
      <c r="J490" s="43"/>
      <c r="K490" s="44"/>
      <c r="L490" s="45"/>
      <c r="M490" s="43"/>
      <c r="N490" s="46"/>
      <c r="O490" s="46"/>
      <c r="P490" s="45"/>
      <c r="Q490" s="45"/>
      <c r="R490" s="45"/>
      <c r="S490" s="43"/>
      <c r="T490" s="43"/>
      <c r="U490" s="43"/>
      <c r="V490" s="43"/>
      <c r="W490" s="43"/>
      <c r="X490" s="43"/>
      <c r="Y490" s="43"/>
      <c r="Z490" s="43"/>
      <c r="AA490" s="43"/>
      <c r="AB490" s="43"/>
      <c r="AC490" s="43"/>
      <c r="AD490" s="43"/>
      <c r="AE490" s="48"/>
      <c r="AF490" s="48"/>
      <c r="AG490" s="48"/>
      <c r="AH490" s="50"/>
    </row>
    <row r="491" spans="1:34" ht="14.5">
      <c r="A491" s="40">
        <v>2014</v>
      </c>
      <c r="B491" s="41" t="s">
        <v>1029</v>
      </c>
      <c r="C491" s="41" t="s">
        <v>1030</v>
      </c>
      <c r="D491" s="41" t="s">
        <v>105</v>
      </c>
      <c r="E491" s="40">
        <v>12</v>
      </c>
      <c r="H491" s="43"/>
      <c r="I491" s="117" t="e">
        <f t="shared" si="47"/>
        <v>#DIV/0!</v>
      </c>
      <c r="J491" s="43"/>
      <c r="K491" s="44"/>
      <c r="L491" s="45"/>
      <c r="M491" s="43"/>
      <c r="N491" s="46"/>
      <c r="O491" s="46"/>
      <c r="P491" s="45"/>
      <c r="Q491" s="45"/>
      <c r="R491" s="45"/>
      <c r="S491" s="43"/>
      <c r="T491" s="43"/>
      <c r="U491" s="43"/>
      <c r="V491" s="43"/>
      <c r="W491" s="43"/>
      <c r="X491" s="43"/>
      <c r="Y491" s="43"/>
      <c r="Z491" s="43"/>
      <c r="AA491" s="43"/>
      <c r="AB491" s="43"/>
      <c r="AC491" s="43"/>
      <c r="AD491" s="43"/>
      <c r="AE491" s="48"/>
      <c r="AF491" s="48"/>
      <c r="AG491" s="48"/>
      <c r="AH491" s="50"/>
    </row>
    <row r="492" spans="1:34" ht="14.5">
      <c r="A492" s="40">
        <v>2015</v>
      </c>
      <c r="B492" s="41" t="s">
        <v>1029</v>
      </c>
      <c r="C492" s="41" t="s">
        <v>1030</v>
      </c>
      <c r="D492" s="41" t="s">
        <v>105</v>
      </c>
      <c r="E492" s="40">
        <v>12</v>
      </c>
      <c r="H492" s="43"/>
      <c r="I492" s="117" t="e">
        <f t="shared" si="47"/>
        <v>#DIV/0!</v>
      </c>
      <c r="J492" s="43"/>
      <c r="K492" s="44"/>
      <c r="L492" s="45"/>
      <c r="M492" s="43"/>
      <c r="N492" s="46"/>
      <c r="O492" s="46"/>
      <c r="P492" s="45"/>
      <c r="Q492" s="45"/>
      <c r="R492" s="45"/>
      <c r="S492" s="43"/>
      <c r="T492" s="43"/>
      <c r="U492" s="43"/>
      <c r="V492" s="43"/>
      <c r="W492" s="43"/>
      <c r="X492" s="43"/>
      <c r="Y492" s="43"/>
      <c r="Z492" s="43"/>
      <c r="AA492" s="43"/>
      <c r="AB492" s="43"/>
      <c r="AC492" s="43"/>
      <c r="AD492" s="43"/>
      <c r="AE492" s="48"/>
      <c r="AF492" s="48"/>
      <c r="AG492" s="48"/>
      <c r="AH492" s="50"/>
    </row>
    <row r="493" spans="1:34" ht="14.5">
      <c r="A493" s="40">
        <v>2016</v>
      </c>
      <c r="B493" s="41" t="s">
        <v>1029</v>
      </c>
      <c r="C493" s="41" t="s">
        <v>1030</v>
      </c>
      <c r="D493" s="41" t="s">
        <v>105</v>
      </c>
      <c r="E493" s="40">
        <v>12</v>
      </c>
      <c r="H493" s="43"/>
      <c r="I493" s="117" t="e">
        <f t="shared" si="47"/>
        <v>#DIV/0!</v>
      </c>
      <c r="J493" s="43"/>
      <c r="K493" s="44"/>
      <c r="L493" s="45"/>
      <c r="M493" s="43"/>
      <c r="N493" s="46"/>
      <c r="O493" s="46"/>
      <c r="P493" s="45"/>
      <c r="Q493" s="45"/>
      <c r="R493" s="45"/>
      <c r="S493" s="43"/>
      <c r="T493" s="43"/>
      <c r="U493" s="43"/>
      <c r="V493" s="43"/>
      <c r="W493" s="43"/>
      <c r="X493" s="43"/>
      <c r="Y493" s="43"/>
      <c r="Z493" s="43"/>
      <c r="AA493" s="43"/>
      <c r="AB493" s="43"/>
      <c r="AC493" s="43"/>
      <c r="AD493" s="43"/>
      <c r="AE493" s="48"/>
      <c r="AF493" s="48"/>
      <c r="AG493" s="48"/>
      <c r="AH493" s="50"/>
    </row>
    <row r="494" spans="1:34" ht="14.5">
      <c r="A494" s="40">
        <v>2017</v>
      </c>
      <c r="B494" s="41" t="s">
        <v>1029</v>
      </c>
      <c r="C494" s="41" t="s">
        <v>1030</v>
      </c>
      <c r="D494" s="41" t="s">
        <v>105</v>
      </c>
      <c r="E494" s="40">
        <v>12</v>
      </c>
      <c r="H494" s="43"/>
      <c r="I494" s="117" t="e">
        <f t="shared" si="47"/>
        <v>#DIV/0!</v>
      </c>
      <c r="J494" s="43"/>
      <c r="K494" s="44"/>
      <c r="L494" s="45"/>
      <c r="M494" s="43"/>
      <c r="N494" s="46"/>
      <c r="O494" s="46"/>
      <c r="P494" s="45"/>
      <c r="Q494" s="45"/>
      <c r="R494" s="45"/>
      <c r="S494" s="43"/>
      <c r="T494" s="43"/>
      <c r="U494" s="43"/>
      <c r="V494" s="43"/>
      <c r="W494" s="43"/>
      <c r="X494" s="43"/>
      <c r="Y494" s="43"/>
      <c r="Z494" s="43"/>
      <c r="AA494" s="43"/>
      <c r="AB494" s="43"/>
      <c r="AC494" s="43"/>
      <c r="AD494" s="43"/>
      <c r="AE494" s="48"/>
      <c r="AF494" s="48"/>
      <c r="AG494" s="48"/>
      <c r="AH494" s="50"/>
    </row>
    <row r="495" spans="1:34" ht="14.5">
      <c r="A495" s="40">
        <v>2007</v>
      </c>
      <c r="B495" s="41" t="s">
        <v>1040</v>
      </c>
      <c r="C495" s="41" t="s">
        <v>1041</v>
      </c>
      <c r="D495" s="41" t="s">
        <v>105</v>
      </c>
      <c r="E495" s="40">
        <v>12</v>
      </c>
      <c r="H495" s="43"/>
      <c r="I495" s="117" t="e">
        <f t="shared" si="47"/>
        <v>#DIV/0!</v>
      </c>
      <c r="J495" s="43"/>
      <c r="K495" s="44"/>
      <c r="L495" s="45"/>
      <c r="M495" s="43"/>
      <c r="N495" s="46"/>
      <c r="O495" s="46"/>
      <c r="P495" s="45"/>
      <c r="Q495" s="45"/>
      <c r="R495" s="45"/>
      <c r="S495" s="43"/>
      <c r="T495" s="43"/>
      <c r="U495" s="43"/>
      <c r="V495" s="43"/>
      <c r="W495" s="43"/>
      <c r="X495" s="43"/>
      <c r="Y495" s="43"/>
      <c r="Z495" s="43"/>
      <c r="AA495" s="43"/>
      <c r="AB495" s="43"/>
      <c r="AC495" s="43"/>
      <c r="AD495" s="43"/>
      <c r="AE495" s="48"/>
      <c r="AF495" s="48"/>
      <c r="AG495" s="48"/>
      <c r="AH495" s="50"/>
    </row>
    <row r="496" spans="1:34" ht="14.5">
      <c r="A496" s="40">
        <v>2008</v>
      </c>
      <c r="B496" s="41" t="s">
        <v>1040</v>
      </c>
      <c r="C496" s="41" t="s">
        <v>1041</v>
      </c>
      <c r="D496" s="41" t="s">
        <v>105</v>
      </c>
      <c r="E496" s="40">
        <v>12</v>
      </c>
      <c r="H496" s="43"/>
      <c r="I496" s="117" t="e">
        <f t="shared" si="47"/>
        <v>#DIV/0!</v>
      </c>
      <c r="J496" s="43"/>
      <c r="K496" s="44"/>
      <c r="L496" s="45"/>
      <c r="M496" s="43"/>
      <c r="N496" s="46"/>
      <c r="O496" s="46"/>
      <c r="P496" s="45"/>
      <c r="Q496" s="45"/>
      <c r="R496" s="45"/>
      <c r="S496" s="43"/>
      <c r="T496" s="43"/>
      <c r="U496" s="43"/>
      <c r="V496" s="43"/>
      <c r="W496" s="43"/>
      <c r="X496" s="43"/>
      <c r="Y496" s="43"/>
      <c r="Z496" s="43"/>
      <c r="AA496" s="43"/>
      <c r="AB496" s="43"/>
      <c r="AC496" s="43"/>
      <c r="AD496" s="43"/>
      <c r="AE496" s="48"/>
      <c r="AF496" s="48"/>
      <c r="AG496" s="48"/>
      <c r="AH496" s="50"/>
    </row>
    <row r="497" spans="1:34" ht="14.5">
      <c r="A497" s="40">
        <v>2009</v>
      </c>
      <c r="B497" s="41" t="s">
        <v>1040</v>
      </c>
      <c r="C497" s="41" t="s">
        <v>1041</v>
      </c>
      <c r="D497" s="41" t="s">
        <v>105</v>
      </c>
      <c r="E497" s="40">
        <v>12</v>
      </c>
      <c r="H497" s="43"/>
      <c r="I497" s="117" t="e">
        <f t="shared" si="47"/>
        <v>#DIV/0!</v>
      </c>
      <c r="J497" s="43"/>
      <c r="K497" s="44"/>
      <c r="L497" s="45"/>
      <c r="M497" s="43"/>
      <c r="N497" s="46"/>
      <c r="O497" s="46"/>
      <c r="P497" s="45"/>
      <c r="Q497" s="45"/>
      <c r="R497" s="45"/>
      <c r="S497" s="43"/>
      <c r="T497" s="43"/>
      <c r="U497" s="43"/>
      <c r="V497" s="43"/>
      <c r="W497" s="43"/>
      <c r="X497" s="43"/>
      <c r="Y497" s="43"/>
      <c r="Z497" s="43"/>
      <c r="AA497" s="43"/>
      <c r="AB497" s="43"/>
      <c r="AC497" s="43"/>
      <c r="AD497" s="43"/>
      <c r="AE497" s="48"/>
      <c r="AF497" s="48"/>
      <c r="AG497" s="48"/>
      <c r="AH497" s="50"/>
    </row>
    <row r="498" spans="1:34" ht="14.5">
      <c r="A498" s="40">
        <v>2010</v>
      </c>
      <c r="B498" s="41" t="s">
        <v>1040</v>
      </c>
      <c r="C498" s="41" t="s">
        <v>1041</v>
      </c>
      <c r="D498" s="41" t="s">
        <v>105</v>
      </c>
      <c r="E498" s="40">
        <v>12</v>
      </c>
      <c r="H498" s="43"/>
      <c r="I498" s="117" t="e">
        <f t="shared" si="47"/>
        <v>#DIV/0!</v>
      </c>
      <c r="J498" s="43"/>
      <c r="K498" s="44"/>
      <c r="L498" s="45"/>
      <c r="M498" s="43"/>
      <c r="N498" s="46"/>
      <c r="O498" s="46"/>
      <c r="P498" s="45"/>
      <c r="Q498" s="45"/>
      <c r="R498" s="45"/>
      <c r="S498" s="43"/>
      <c r="T498" s="43"/>
      <c r="U498" s="43"/>
      <c r="V498" s="43"/>
      <c r="W498" s="43"/>
      <c r="X498" s="43"/>
      <c r="Y498" s="43"/>
      <c r="Z498" s="43"/>
      <c r="AA498" s="43"/>
      <c r="AB498" s="43"/>
      <c r="AC498" s="43"/>
      <c r="AD498" s="43"/>
      <c r="AE498" s="48"/>
      <c r="AF498" s="48"/>
      <c r="AG498" s="48"/>
      <c r="AH498" s="50"/>
    </row>
    <row r="499" spans="1:34" ht="14.5">
      <c r="A499" s="40">
        <v>2011</v>
      </c>
      <c r="B499" s="41" t="s">
        <v>1040</v>
      </c>
      <c r="C499" s="41" t="s">
        <v>1041</v>
      </c>
      <c r="D499" s="41" t="s">
        <v>105</v>
      </c>
      <c r="E499" s="40">
        <v>12</v>
      </c>
      <c r="H499" s="43"/>
      <c r="I499" s="117" t="e">
        <f t="shared" si="47"/>
        <v>#DIV/0!</v>
      </c>
      <c r="J499" s="43"/>
      <c r="K499" s="44"/>
      <c r="L499" s="45"/>
      <c r="M499" s="43"/>
      <c r="N499" s="46"/>
      <c r="O499" s="46"/>
      <c r="P499" s="45"/>
      <c r="Q499" s="45"/>
      <c r="R499" s="45"/>
      <c r="S499" s="43"/>
      <c r="T499" s="43"/>
      <c r="U499" s="43"/>
      <c r="V499" s="43"/>
      <c r="W499" s="43"/>
      <c r="X499" s="43"/>
      <c r="Y499" s="43"/>
      <c r="Z499" s="43"/>
      <c r="AA499" s="43"/>
      <c r="AB499" s="43"/>
      <c r="AC499" s="43"/>
      <c r="AD499" s="43"/>
      <c r="AE499" s="48"/>
      <c r="AF499" s="48"/>
      <c r="AG499" s="48"/>
      <c r="AH499" s="50"/>
    </row>
    <row r="500" spans="1:34" ht="14.5">
      <c r="A500" s="40">
        <v>2012</v>
      </c>
      <c r="B500" s="41" t="s">
        <v>1040</v>
      </c>
      <c r="C500" s="41" t="s">
        <v>1041</v>
      </c>
      <c r="D500" s="41" t="s">
        <v>105</v>
      </c>
      <c r="E500" s="40">
        <v>12</v>
      </c>
      <c r="H500" s="43"/>
      <c r="I500" s="117" t="e">
        <f t="shared" si="47"/>
        <v>#DIV/0!</v>
      </c>
      <c r="J500" s="43"/>
      <c r="K500" s="44"/>
      <c r="L500" s="45"/>
      <c r="M500" s="43"/>
      <c r="N500" s="46"/>
      <c r="O500" s="46"/>
      <c r="P500" s="45"/>
      <c r="Q500" s="45"/>
      <c r="R500" s="45"/>
      <c r="S500" s="43"/>
      <c r="T500" s="43"/>
      <c r="U500" s="43"/>
      <c r="V500" s="43"/>
      <c r="W500" s="43"/>
      <c r="X500" s="43"/>
      <c r="Y500" s="43"/>
      <c r="Z500" s="43"/>
      <c r="AA500" s="43"/>
      <c r="AB500" s="43"/>
      <c r="AC500" s="43"/>
      <c r="AD500" s="43"/>
      <c r="AE500" s="48"/>
      <c r="AF500" s="48"/>
      <c r="AG500" s="48"/>
      <c r="AH500" s="50"/>
    </row>
    <row r="501" spans="1:34" ht="14.5">
      <c r="A501" s="40">
        <v>2013</v>
      </c>
      <c r="B501" s="41" t="s">
        <v>1040</v>
      </c>
      <c r="C501" s="41" t="s">
        <v>1041</v>
      </c>
      <c r="D501" s="41" t="s">
        <v>105</v>
      </c>
      <c r="E501" s="40">
        <v>12</v>
      </c>
      <c r="H501" s="43"/>
      <c r="I501" s="117" t="e">
        <f t="shared" si="47"/>
        <v>#DIV/0!</v>
      </c>
      <c r="J501" s="43"/>
      <c r="K501" s="44"/>
      <c r="L501" s="45"/>
      <c r="M501" s="43"/>
      <c r="N501" s="46"/>
      <c r="O501" s="46"/>
      <c r="P501" s="45"/>
      <c r="Q501" s="45"/>
      <c r="R501" s="45"/>
      <c r="S501" s="43"/>
      <c r="T501" s="43"/>
      <c r="U501" s="43"/>
      <c r="V501" s="43"/>
      <c r="W501" s="43"/>
      <c r="X501" s="43"/>
      <c r="Y501" s="43"/>
      <c r="Z501" s="43"/>
      <c r="AA501" s="43"/>
      <c r="AB501" s="43"/>
      <c r="AC501" s="43"/>
      <c r="AD501" s="43"/>
      <c r="AE501" s="48"/>
      <c r="AF501" s="48"/>
      <c r="AG501" s="48"/>
      <c r="AH501" s="50"/>
    </row>
    <row r="502" spans="1:34" ht="14.5">
      <c r="A502" s="40">
        <v>2014</v>
      </c>
      <c r="B502" s="41" t="s">
        <v>1040</v>
      </c>
      <c r="C502" s="41" t="s">
        <v>1041</v>
      </c>
      <c r="D502" s="41" t="s">
        <v>105</v>
      </c>
      <c r="E502" s="40">
        <v>12</v>
      </c>
      <c r="H502" s="43"/>
      <c r="I502" s="117" t="e">
        <f t="shared" si="47"/>
        <v>#DIV/0!</v>
      </c>
      <c r="J502" s="43"/>
      <c r="K502" s="44"/>
      <c r="L502" s="45"/>
      <c r="M502" s="43"/>
      <c r="N502" s="46"/>
      <c r="O502" s="46"/>
      <c r="P502" s="45"/>
      <c r="Q502" s="45"/>
      <c r="R502" s="45"/>
      <c r="S502" s="43"/>
      <c r="T502" s="43"/>
      <c r="U502" s="43"/>
      <c r="V502" s="43"/>
      <c r="W502" s="43"/>
      <c r="X502" s="43"/>
      <c r="Y502" s="43"/>
      <c r="Z502" s="43"/>
      <c r="AA502" s="43"/>
      <c r="AB502" s="43"/>
      <c r="AC502" s="43"/>
      <c r="AD502" s="43"/>
      <c r="AE502" s="48"/>
      <c r="AF502" s="48"/>
      <c r="AG502" s="48"/>
      <c r="AH502" s="50"/>
    </row>
    <row r="503" spans="1:34" ht="14.5">
      <c r="A503" s="40">
        <v>2015</v>
      </c>
      <c r="B503" s="41" t="s">
        <v>1040</v>
      </c>
      <c r="C503" s="41" t="s">
        <v>1041</v>
      </c>
      <c r="D503" s="41" t="s">
        <v>105</v>
      </c>
      <c r="E503" s="40">
        <v>12</v>
      </c>
      <c r="H503" s="43"/>
      <c r="I503" s="117" t="e">
        <f t="shared" si="47"/>
        <v>#DIV/0!</v>
      </c>
      <c r="J503" s="43"/>
      <c r="K503" s="44"/>
      <c r="L503" s="45"/>
      <c r="M503" s="43"/>
      <c r="N503" s="46"/>
      <c r="O503" s="46"/>
      <c r="P503" s="45"/>
      <c r="Q503" s="45"/>
      <c r="R503" s="45"/>
      <c r="S503" s="43"/>
      <c r="T503" s="43"/>
      <c r="U503" s="43"/>
      <c r="V503" s="43"/>
      <c r="W503" s="43"/>
      <c r="X503" s="43"/>
      <c r="Y503" s="43"/>
      <c r="Z503" s="43"/>
      <c r="AA503" s="43"/>
      <c r="AB503" s="43"/>
      <c r="AC503" s="43"/>
      <c r="AD503" s="43"/>
      <c r="AE503" s="48"/>
      <c r="AF503" s="48"/>
      <c r="AG503" s="48"/>
      <c r="AH503" s="50"/>
    </row>
    <row r="504" spans="1:34" ht="14.5">
      <c r="A504" s="40">
        <v>2016</v>
      </c>
      <c r="B504" s="41" t="s">
        <v>1040</v>
      </c>
      <c r="C504" s="41" t="s">
        <v>1041</v>
      </c>
      <c r="D504" s="41" t="s">
        <v>105</v>
      </c>
      <c r="E504" s="40">
        <v>12</v>
      </c>
      <c r="H504" s="43"/>
      <c r="I504" s="117" t="e">
        <f t="shared" si="47"/>
        <v>#DIV/0!</v>
      </c>
      <c r="J504" s="43"/>
      <c r="K504" s="44"/>
      <c r="L504" s="45"/>
      <c r="M504" s="43"/>
      <c r="N504" s="46"/>
      <c r="O504" s="46"/>
      <c r="P504" s="45"/>
      <c r="Q504" s="45"/>
      <c r="R504" s="45"/>
      <c r="S504" s="43"/>
      <c r="T504" s="43"/>
      <c r="U504" s="43"/>
      <c r="V504" s="43"/>
      <c r="W504" s="43"/>
      <c r="X504" s="43"/>
      <c r="Y504" s="43"/>
      <c r="Z504" s="43"/>
      <c r="AA504" s="43"/>
      <c r="AB504" s="43"/>
      <c r="AC504" s="43"/>
      <c r="AD504" s="43"/>
      <c r="AE504" s="48"/>
      <c r="AF504" s="48"/>
      <c r="AG504" s="48"/>
      <c r="AH504" s="50"/>
    </row>
    <row r="505" spans="1:34" ht="14.5">
      <c r="A505" s="40">
        <v>2017</v>
      </c>
      <c r="B505" s="41" t="s">
        <v>1040</v>
      </c>
      <c r="C505" s="41" t="s">
        <v>1041</v>
      </c>
      <c r="D505" s="41" t="s">
        <v>105</v>
      </c>
      <c r="E505" s="40">
        <v>12</v>
      </c>
      <c r="H505" s="43"/>
      <c r="I505" s="117" t="e">
        <f t="shared" si="47"/>
        <v>#DIV/0!</v>
      </c>
      <c r="J505" s="43"/>
      <c r="K505" s="44"/>
      <c r="L505" s="45"/>
      <c r="M505" s="43"/>
      <c r="N505" s="46"/>
      <c r="O505" s="46"/>
      <c r="P505" s="45"/>
      <c r="Q505" s="45"/>
      <c r="R505" s="45"/>
      <c r="S505" s="43"/>
      <c r="T505" s="43"/>
      <c r="U505" s="43"/>
      <c r="V505" s="43"/>
      <c r="W505" s="43"/>
      <c r="X505" s="43"/>
      <c r="Y505" s="43"/>
      <c r="Z505" s="43"/>
      <c r="AA505" s="43"/>
      <c r="AB505" s="43"/>
      <c r="AC505" s="43"/>
      <c r="AD505" s="43"/>
      <c r="AE505" s="48"/>
      <c r="AF505" s="48"/>
      <c r="AG505" s="48"/>
      <c r="AH505" s="50"/>
    </row>
    <row r="506" spans="1:34" ht="14.5">
      <c r="A506" s="40">
        <v>2010</v>
      </c>
      <c r="B506" s="41" t="s">
        <v>1050</v>
      </c>
      <c r="C506" s="41" t="s">
        <v>1051</v>
      </c>
      <c r="D506" s="41" t="s">
        <v>105</v>
      </c>
      <c r="E506" s="40">
        <v>12</v>
      </c>
      <c r="H506" s="43"/>
      <c r="I506" s="117" t="e">
        <f t="shared" si="47"/>
        <v>#DIV/0!</v>
      </c>
      <c r="J506" s="43"/>
      <c r="K506" s="44"/>
      <c r="L506" s="45"/>
      <c r="M506" s="43"/>
      <c r="N506" s="46"/>
      <c r="O506" s="46"/>
      <c r="P506" s="45"/>
      <c r="Q506" s="45"/>
      <c r="R506" s="45"/>
      <c r="S506" s="43"/>
      <c r="T506" s="43"/>
      <c r="U506" s="43"/>
      <c r="V506" s="43"/>
      <c r="W506" s="43"/>
      <c r="X506" s="43"/>
      <c r="Y506" s="43"/>
      <c r="Z506" s="43"/>
      <c r="AA506" s="43"/>
      <c r="AB506" s="43"/>
      <c r="AC506" s="43"/>
      <c r="AD506" s="43"/>
      <c r="AE506" s="48"/>
      <c r="AF506" s="48"/>
      <c r="AG506" s="48"/>
      <c r="AH506" s="50"/>
    </row>
    <row r="507" spans="1:34" ht="14.5">
      <c r="A507" s="40">
        <v>2011</v>
      </c>
      <c r="B507" s="41" t="s">
        <v>1050</v>
      </c>
      <c r="C507" s="41" t="s">
        <v>1051</v>
      </c>
      <c r="D507" s="41" t="s">
        <v>105</v>
      </c>
      <c r="E507" s="40">
        <v>12</v>
      </c>
      <c r="H507" s="43"/>
      <c r="I507" s="117" t="e">
        <f t="shared" si="47"/>
        <v>#DIV/0!</v>
      </c>
      <c r="J507" s="43"/>
      <c r="K507" s="44"/>
      <c r="L507" s="45"/>
      <c r="M507" s="43"/>
      <c r="N507" s="46"/>
      <c r="O507" s="46"/>
      <c r="P507" s="45"/>
      <c r="Q507" s="45"/>
      <c r="R507" s="45"/>
      <c r="S507" s="43"/>
      <c r="T507" s="43"/>
      <c r="U507" s="43"/>
      <c r="V507" s="43"/>
      <c r="W507" s="43"/>
      <c r="X507" s="43"/>
      <c r="Y507" s="43"/>
      <c r="Z507" s="43"/>
      <c r="AA507" s="43"/>
      <c r="AB507" s="43"/>
      <c r="AC507" s="43"/>
      <c r="AD507" s="43"/>
      <c r="AE507" s="48"/>
      <c r="AF507" s="48"/>
      <c r="AG507" s="48"/>
      <c r="AH507" s="50"/>
    </row>
    <row r="508" spans="1:34" ht="14.5">
      <c r="A508" s="40">
        <v>2012</v>
      </c>
      <c r="B508" s="41" t="s">
        <v>1050</v>
      </c>
      <c r="C508" s="41" t="s">
        <v>1051</v>
      </c>
      <c r="D508" s="41" t="s">
        <v>105</v>
      </c>
      <c r="E508" s="40">
        <v>12</v>
      </c>
      <c r="H508" s="43"/>
      <c r="I508" s="117" t="e">
        <f t="shared" si="47"/>
        <v>#DIV/0!</v>
      </c>
      <c r="J508" s="43"/>
      <c r="K508" s="44"/>
      <c r="L508" s="45"/>
      <c r="M508" s="43"/>
      <c r="N508" s="46"/>
      <c r="O508" s="46"/>
      <c r="P508" s="45"/>
      <c r="Q508" s="45"/>
      <c r="R508" s="45"/>
      <c r="S508" s="43"/>
      <c r="T508" s="43"/>
      <c r="U508" s="43"/>
      <c r="V508" s="43"/>
      <c r="W508" s="43"/>
      <c r="X508" s="43"/>
      <c r="Y508" s="43"/>
      <c r="Z508" s="43"/>
      <c r="AA508" s="43"/>
      <c r="AB508" s="43"/>
      <c r="AC508" s="43"/>
      <c r="AD508" s="43"/>
      <c r="AE508" s="48"/>
      <c r="AF508" s="48"/>
      <c r="AG508" s="48"/>
      <c r="AH508" s="50"/>
    </row>
    <row r="509" spans="1:34" ht="14.5">
      <c r="A509" s="40">
        <v>2013</v>
      </c>
      <c r="B509" s="41" t="s">
        <v>1050</v>
      </c>
      <c r="C509" s="41" t="s">
        <v>1051</v>
      </c>
      <c r="D509" s="41" t="s">
        <v>105</v>
      </c>
      <c r="E509" s="40">
        <v>12</v>
      </c>
      <c r="H509" s="43"/>
      <c r="I509" s="117" t="e">
        <f t="shared" si="47"/>
        <v>#DIV/0!</v>
      </c>
      <c r="J509" s="43"/>
      <c r="K509" s="44"/>
      <c r="L509" s="45"/>
      <c r="M509" s="43"/>
      <c r="N509" s="46"/>
      <c r="O509" s="46"/>
      <c r="P509" s="45"/>
      <c r="Q509" s="45"/>
      <c r="R509" s="45"/>
      <c r="S509" s="43"/>
      <c r="T509" s="43"/>
      <c r="U509" s="43"/>
      <c r="V509" s="43"/>
      <c r="W509" s="43"/>
      <c r="X509" s="43"/>
      <c r="Y509" s="43"/>
      <c r="Z509" s="43"/>
      <c r="AA509" s="43"/>
      <c r="AB509" s="43"/>
      <c r="AC509" s="43"/>
      <c r="AD509" s="43"/>
      <c r="AE509" s="48"/>
      <c r="AF509" s="48"/>
      <c r="AG509" s="48"/>
      <c r="AH509" s="50"/>
    </row>
    <row r="510" spans="1:34" ht="14.5">
      <c r="A510" s="40">
        <v>2014</v>
      </c>
      <c r="B510" s="41" t="s">
        <v>1050</v>
      </c>
      <c r="C510" s="41" t="s">
        <v>1051</v>
      </c>
      <c r="D510" s="41" t="s">
        <v>105</v>
      </c>
      <c r="E510" s="40">
        <v>12</v>
      </c>
      <c r="H510" s="43"/>
      <c r="I510" s="117" t="e">
        <f t="shared" si="47"/>
        <v>#DIV/0!</v>
      </c>
      <c r="J510" s="43"/>
      <c r="K510" s="44"/>
      <c r="L510" s="45"/>
      <c r="M510" s="43"/>
      <c r="N510" s="46"/>
      <c r="O510" s="46"/>
      <c r="P510" s="45"/>
      <c r="Q510" s="45"/>
      <c r="R510" s="45"/>
      <c r="S510" s="43"/>
      <c r="T510" s="43"/>
      <c r="U510" s="43"/>
      <c r="V510" s="43"/>
      <c r="W510" s="43"/>
      <c r="X510" s="43"/>
      <c r="Y510" s="43"/>
      <c r="Z510" s="43"/>
      <c r="AA510" s="43"/>
      <c r="AB510" s="43"/>
      <c r="AC510" s="43"/>
      <c r="AD510" s="43"/>
      <c r="AE510" s="48"/>
      <c r="AF510" s="48"/>
      <c r="AG510" s="48"/>
      <c r="AH510" s="50"/>
    </row>
    <row r="511" spans="1:34" ht="14.5">
      <c r="A511" s="40">
        <v>2015</v>
      </c>
      <c r="B511" s="41" t="s">
        <v>1050</v>
      </c>
      <c r="C511" s="41" t="s">
        <v>1051</v>
      </c>
      <c r="D511" s="41" t="s">
        <v>105</v>
      </c>
      <c r="E511" s="40">
        <v>12</v>
      </c>
      <c r="H511" s="43"/>
      <c r="I511" s="117" t="e">
        <f t="shared" si="47"/>
        <v>#DIV/0!</v>
      </c>
      <c r="J511" s="43"/>
      <c r="K511" s="44"/>
      <c r="L511" s="45"/>
      <c r="M511" s="43"/>
      <c r="N511" s="46"/>
      <c r="O511" s="46"/>
      <c r="P511" s="45"/>
      <c r="Q511" s="45"/>
      <c r="R511" s="45"/>
      <c r="S511" s="43"/>
      <c r="T511" s="43"/>
      <c r="U511" s="43"/>
      <c r="V511" s="43"/>
      <c r="W511" s="43"/>
      <c r="X511" s="43"/>
      <c r="Y511" s="43"/>
      <c r="Z511" s="43"/>
      <c r="AA511" s="43"/>
      <c r="AB511" s="43"/>
      <c r="AC511" s="43"/>
      <c r="AD511" s="43"/>
      <c r="AE511" s="48"/>
      <c r="AF511" s="48"/>
      <c r="AG511" s="48"/>
      <c r="AH511" s="50"/>
    </row>
    <row r="512" spans="1:34" ht="14.5">
      <c r="A512" s="40">
        <v>2016</v>
      </c>
      <c r="B512" s="41" t="s">
        <v>1050</v>
      </c>
      <c r="C512" s="41" t="s">
        <v>1051</v>
      </c>
      <c r="D512" s="41" t="s">
        <v>105</v>
      </c>
      <c r="E512" s="40">
        <v>12</v>
      </c>
      <c r="H512" s="43"/>
      <c r="I512" s="117" t="e">
        <f t="shared" si="47"/>
        <v>#DIV/0!</v>
      </c>
      <c r="J512" s="43"/>
      <c r="K512" s="44"/>
      <c r="L512" s="45"/>
      <c r="M512" s="43"/>
      <c r="N512" s="46"/>
      <c r="O512" s="46"/>
      <c r="P512" s="45"/>
      <c r="Q512" s="45"/>
      <c r="R512" s="45"/>
      <c r="S512" s="43"/>
      <c r="T512" s="43"/>
      <c r="U512" s="43"/>
      <c r="V512" s="43"/>
      <c r="W512" s="43"/>
      <c r="X512" s="43"/>
      <c r="Y512" s="43"/>
      <c r="Z512" s="43"/>
      <c r="AA512" s="43"/>
      <c r="AB512" s="43"/>
      <c r="AC512" s="43"/>
      <c r="AD512" s="43"/>
      <c r="AE512" s="48"/>
      <c r="AF512" s="48"/>
      <c r="AG512" s="48"/>
      <c r="AH512" s="50"/>
    </row>
    <row r="513" spans="1:34" ht="14.5">
      <c r="A513" s="40">
        <v>2017</v>
      </c>
      <c r="B513" s="41" t="s">
        <v>1050</v>
      </c>
      <c r="C513" s="41" t="s">
        <v>1051</v>
      </c>
      <c r="D513" s="41" t="s">
        <v>105</v>
      </c>
      <c r="E513" s="40">
        <v>12</v>
      </c>
      <c r="H513" s="43"/>
      <c r="I513" s="117" t="e">
        <f t="shared" si="47"/>
        <v>#DIV/0!</v>
      </c>
      <c r="J513" s="43"/>
      <c r="K513" s="44"/>
      <c r="L513" s="45"/>
      <c r="M513" s="43"/>
      <c r="N513" s="46"/>
      <c r="O513" s="46"/>
      <c r="P513" s="45"/>
      <c r="Q513" s="45"/>
      <c r="R513" s="45"/>
      <c r="S513" s="43"/>
      <c r="T513" s="43"/>
      <c r="U513" s="43"/>
      <c r="V513" s="43"/>
      <c r="W513" s="43"/>
      <c r="X513" s="43"/>
      <c r="Y513" s="43"/>
      <c r="Z513" s="43"/>
      <c r="AA513" s="43"/>
      <c r="AB513" s="43"/>
      <c r="AC513" s="43"/>
      <c r="AD513" s="43"/>
      <c r="AE513" s="48"/>
      <c r="AF513" s="48"/>
      <c r="AG513" s="48"/>
      <c r="AH513" s="50"/>
    </row>
    <row r="514" spans="1:34" ht="14.5">
      <c r="A514" s="40">
        <v>2007</v>
      </c>
      <c r="B514" s="41" t="s">
        <v>1062</v>
      </c>
      <c r="C514" s="41" t="s">
        <v>1063</v>
      </c>
      <c r="D514" s="41" t="s">
        <v>363</v>
      </c>
      <c r="E514" s="40">
        <v>12</v>
      </c>
      <c r="H514" s="43"/>
      <c r="I514" s="117" t="e">
        <f t="shared" si="47"/>
        <v>#DIV/0!</v>
      </c>
      <c r="J514" s="43"/>
      <c r="K514" s="44"/>
      <c r="L514" s="45"/>
      <c r="M514" s="43"/>
      <c r="N514" s="46"/>
      <c r="O514" s="46"/>
      <c r="P514" s="45"/>
      <c r="Q514" s="45"/>
      <c r="R514" s="45"/>
      <c r="S514" s="43"/>
      <c r="T514" s="43"/>
      <c r="U514" s="43"/>
      <c r="V514" s="43"/>
      <c r="W514" s="43"/>
      <c r="X514" s="43"/>
      <c r="Y514" s="43"/>
      <c r="Z514" s="43"/>
      <c r="AA514" s="43"/>
      <c r="AB514" s="43"/>
      <c r="AC514" s="43"/>
      <c r="AD514" s="43"/>
      <c r="AE514" s="48"/>
      <c r="AF514" s="48"/>
      <c r="AG514" s="48"/>
      <c r="AH514" s="50"/>
    </row>
    <row r="515" spans="1:34" ht="14.5">
      <c r="A515" s="40">
        <v>2008</v>
      </c>
      <c r="B515" s="41" t="s">
        <v>1062</v>
      </c>
      <c r="C515" s="41" t="s">
        <v>1063</v>
      </c>
      <c r="D515" s="41" t="s">
        <v>363</v>
      </c>
      <c r="E515" s="40">
        <v>12</v>
      </c>
      <c r="H515" s="43"/>
      <c r="I515" s="117" t="e">
        <f t="shared" si="47"/>
        <v>#DIV/0!</v>
      </c>
      <c r="J515" s="43"/>
      <c r="K515" s="44"/>
      <c r="L515" s="45"/>
      <c r="M515" s="43"/>
      <c r="N515" s="46"/>
      <c r="O515" s="46"/>
      <c r="P515" s="45"/>
      <c r="Q515" s="45"/>
      <c r="R515" s="45"/>
      <c r="S515" s="43"/>
      <c r="T515" s="43"/>
      <c r="U515" s="43"/>
      <c r="V515" s="43"/>
      <c r="W515" s="43"/>
      <c r="X515" s="43"/>
      <c r="Y515" s="43"/>
      <c r="Z515" s="43"/>
      <c r="AA515" s="43"/>
      <c r="AB515" s="43"/>
      <c r="AC515" s="43"/>
      <c r="AD515" s="43"/>
      <c r="AE515" s="48"/>
      <c r="AF515" s="48"/>
      <c r="AG515" s="48"/>
      <c r="AH515" s="50"/>
    </row>
    <row r="516" spans="1:34" ht="14.5">
      <c r="A516" s="40">
        <v>2009</v>
      </c>
      <c r="B516" s="41" t="s">
        <v>1062</v>
      </c>
      <c r="C516" s="41" t="s">
        <v>1063</v>
      </c>
      <c r="D516" s="41" t="s">
        <v>363</v>
      </c>
      <c r="E516" s="40">
        <v>12</v>
      </c>
      <c r="H516" s="43"/>
      <c r="I516" s="117" t="e">
        <f t="shared" si="47"/>
        <v>#DIV/0!</v>
      </c>
      <c r="J516" s="43"/>
      <c r="K516" s="44"/>
      <c r="L516" s="45"/>
      <c r="M516" s="43"/>
      <c r="N516" s="46"/>
      <c r="O516" s="46"/>
      <c r="P516" s="45"/>
      <c r="Q516" s="45"/>
      <c r="R516" s="45"/>
      <c r="S516" s="43"/>
      <c r="T516" s="43"/>
      <c r="U516" s="43"/>
      <c r="V516" s="43"/>
      <c r="W516" s="43"/>
      <c r="X516" s="43"/>
      <c r="Y516" s="43"/>
      <c r="Z516" s="43"/>
      <c r="AA516" s="43"/>
      <c r="AB516" s="43"/>
      <c r="AC516" s="43"/>
      <c r="AD516" s="43"/>
      <c r="AE516" s="48"/>
      <c r="AF516" s="48"/>
      <c r="AG516" s="48"/>
      <c r="AH516" s="50"/>
    </row>
    <row r="517" spans="1:34" ht="14.5">
      <c r="A517" s="40">
        <v>2010</v>
      </c>
      <c r="B517" s="41" t="s">
        <v>1062</v>
      </c>
      <c r="C517" s="41" t="s">
        <v>1063</v>
      </c>
      <c r="D517" s="41" t="s">
        <v>105</v>
      </c>
      <c r="E517" s="40">
        <v>12</v>
      </c>
      <c r="H517" s="43"/>
      <c r="I517" s="117" t="e">
        <f t="shared" si="47"/>
        <v>#DIV/0!</v>
      </c>
      <c r="J517" s="43"/>
      <c r="K517" s="44"/>
      <c r="L517" s="45"/>
      <c r="M517" s="43"/>
      <c r="N517" s="46"/>
      <c r="O517" s="46"/>
      <c r="P517" s="45"/>
      <c r="Q517" s="45"/>
      <c r="R517" s="45"/>
      <c r="S517" s="43"/>
      <c r="T517" s="43"/>
      <c r="U517" s="43"/>
      <c r="V517" s="43"/>
      <c r="W517" s="43"/>
      <c r="X517" s="43"/>
      <c r="Y517" s="43"/>
      <c r="Z517" s="43"/>
      <c r="AA517" s="43"/>
      <c r="AB517" s="43"/>
      <c r="AC517" s="43"/>
      <c r="AD517" s="43"/>
      <c r="AE517" s="48"/>
      <c r="AF517" s="48"/>
      <c r="AG517" s="48"/>
      <c r="AH517" s="50"/>
    </row>
    <row r="518" spans="1:34" ht="14.5">
      <c r="A518" s="40">
        <v>2011</v>
      </c>
      <c r="B518" s="41" t="s">
        <v>1062</v>
      </c>
      <c r="C518" s="41" t="s">
        <v>1063</v>
      </c>
      <c r="D518" s="41" t="s">
        <v>105</v>
      </c>
      <c r="E518" s="40">
        <v>12</v>
      </c>
      <c r="H518" s="43"/>
      <c r="I518" s="117" t="e">
        <f t="shared" si="47"/>
        <v>#DIV/0!</v>
      </c>
      <c r="J518" s="43"/>
      <c r="K518" s="44"/>
      <c r="L518" s="45"/>
      <c r="M518" s="43"/>
      <c r="N518" s="46"/>
      <c r="O518" s="46"/>
      <c r="P518" s="45"/>
      <c r="Q518" s="45"/>
      <c r="R518" s="45"/>
      <c r="S518" s="43"/>
      <c r="T518" s="43"/>
      <c r="U518" s="43"/>
      <c r="V518" s="43"/>
      <c r="W518" s="43"/>
      <c r="X518" s="43"/>
      <c r="Y518" s="43"/>
      <c r="Z518" s="43"/>
      <c r="AA518" s="43"/>
      <c r="AB518" s="43"/>
      <c r="AC518" s="43"/>
      <c r="AD518" s="43"/>
      <c r="AE518" s="48"/>
      <c r="AF518" s="48"/>
      <c r="AG518" s="48"/>
      <c r="AH518" s="50"/>
    </row>
    <row r="519" spans="1:34" ht="14.5">
      <c r="A519" s="40">
        <v>2012</v>
      </c>
      <c r="B519" s="41" t="s">
        <v>1062</v>
      </c>
      <c r="C519" s="41" t="s">
        <v>1063</v>
      </c>
      <c r="D519" s="41" t="s">
        <v>105</v>
      </c>
      <c r="E519" s="40">
        <v>12</v>
      </c>
      <c r="H519" s="43"/>
      <c r="I519" s="117" t="e">
        <f t="shared" si="47"/>
        <v>#DIV/0!</v>
      </c>
      <c r="J519" s="43"/>
      <c r="K519" s="44"/>
      <c r="L519" s="45"/>
      <c r="M519" s="43"/>
      <c r="N519" s="46"/>
      <c r="O519" s="46"/>
      <c r="P519" s="45"/>
      <c r="Q519" s="45"/>
      <c r="R519" s="45"/>
      <c r="S519" s="43"/>
      <c r="T519" s="43"/>
      <c r="U519" s="43"/>
      <c r="V519" s="43"/>
      <c r="W519" s="43"/>
      <c r="X519" s="43"/>
      <c r="Y519" s="43"/>
      <c r="Z519" s="43"/>
      <c r="AA519" s="43"/>
      <c r="AB519" s="43"/>
      <c r="AC519" s="43"/>
      <c r="AD519" s="43"/>
      <c r="AE519" s="48"/>
      <c r="AF519" s="48"/>
      <c r="AG519" s="48"/>
      <c r="AH519" s="50"/>
    </row>
    <row r="520" spans="1:34" ht="14.5">
      <c r="A520" s="40">
        <v>2013</v>
      </c>
      <c r="B520" s="41" t="s">
        <v>1062</v>
      </c>
      <c r="C520" s="41" t="s">
        <v>1063</v>
      </c>
      <c r="D520" s="41" t="s">
        <v>105</v>
      </c>
      <c r="E520" s="40">
        <v>12</v>
      </c>
      <c r="H520" s="43"/>
      <c r="I520" s="117" t="e">
        <f t="shared" si="47"/>
        <v>#DIV/0!</v>
      </c>
      <c r="J520" s="43"/>
      <c r="K520" s="44"/>
      <c r="L520" s="45"/>
      <c r="M520" s="43"/>
      <c r="N520" s="46"/>
      <c r="O520" s="46"/>
      <c r="P520" s="45"/>
      <c r="Q520" s="45"/>
      <c r="R520" s="45"/>
      <c r="S520" s="43"/>
      <c r="T520" s="43"/>
      <c r="U520" s="43"/>
      <c r="V520" s="43"/>
      <c r="W520" s="43"/>
      <c r="X520" s="43"/>
      <c r="Y520" s="43"/>
      <c r="Z520" s="43"/>
      <c r="AA520" s="43"/>
      <c r="AB520" s="43"/>
      <c r="AC520" s="43"/>
      <c r="AD520" s="43"/>
      <c r="AE520" s="48"/>
      <c r="AF520" s="48"/>
      <c r="AG520" s="48"/>
      <c r="AH520" s="50"/>
    </row>
    <row r="521" spans="1:34" ht="14.5">
      <c r="A521" s="40">
        <v>2014</v>
      </c>
      <c r="B521" s="41" t="s">
        <v>1062</v>
      </c>
      <c r="C521" s="41" t="s">
        <v>1063</v>
      </c>
      <c r="D521" s="41" t="s">
        <v>105</v>
      </c>
      <c r="E521" s="40">
        <v>12</v>
      </c>
      <c r="H521" s="43"/>
      <c r="I521" s="117" t="e">
        <f t="shared" si="47"/>
        <v>#DIV/0!</v>
      </c>
      <c r="J521" s="43"/>
      <c r="K521" s="44"/>
      <c r="L521" s="45"/>
      <c r="M521" s="43"/>
      <c r="N521" s="46"/>
      <c r="O521" s="46"/>
      <c r="P521" s="45"/>
      <c r="Q521" s="45"/>
      <c r="R521" s="45"/>
      <c r="S521" s="43"/>
      <c r="T521" s="43"/>
      <c r="U521" s="43"/>
      <c r="V521" s="43"/>
      <c r="W521" s="43"/>
      <c r="X521" s="43"/>
      <c r="Y521" s="43"/>
      <c r="Z521" s="43"/>
      <c r="AA521" s="43"/>
      <c r="AB521" s="43"/>
      <c r="AC521" s="43"/>
      <c r="AD521" s="43"/>
      <c r="AE521" s="48"/>
      <c r="AF521" s="48"/>
      <c r="AG521" s="48"/>
      <c r="AH521" s="50"/>
    </row>
    <row r="522" spans="1:34" ht="14.5">
      <c r="A522" s="40">
        <v>2015</v>
      </c>
      <c r="B522" s="41" t="s">
        <v>1062</v>
      </c>
      <c r="C522" s="41" t="s">
        <v>1063</v>
      </c>
      <c r="D522" s="41" t="s">
        <v>105</v>
      </c>
      <c r="E522" s="40">
        <v>12</v>
      </c>
      <c r="H522" s="43"/>
      <c r="I522" s="117" t="e">
        <f t="shared" si="47"/>
        <v>#DIV/0!</v>
      </c>
      <c r="J522" s="43"/>
      <c r="K522" s="44"/>
      <c r="L522" s="45"/>
      <c r="M522" s="43"/>
      <c r="N522" s="46"/>
      <c r="O522" s="46"/>
      <c r="P522" s="45"/>
      <c r="Q522" s="45"/>
      <c r="R522" s="45"/>
      <c r="S522" s="43"/>
      <c r="T522" s="43"/>
      <c r="U522" s="43"/>
      <c r="V522" s="43"/>
      <c r="W522" s="43"/>
      <c r="X522" s="43"/>
      <c r="Y522" s="43"/>
      <c r="Z522" s="43"/>
      <c r="AA522" s="43"/>
      <c r="AB522" s="43"/>
      <c r="AC522" s="43"/>
      <c r="AD522" s="43"/>
      <c r="AE522" s="48"/>
      <c r="AF522" s="48"/>
      <c r="AG522" s="48"/>
      <c r="AH522" s="50"/>
    </row>
    <row r="523" spans="1:34" ht="14.5">
      <c r="A523" s="40">
        <v>2016</v>
      </c>
      <c r="B523" s="41" t="s">
        <v>1062</v>
      </c>
      <c r="C523" s="41" t="s">
        <v>1063</v>
      </c>
      <c r="D523" s="41" t="s">
        <v>105</v>
      </c>
      <c r="E523" s="40">
        <v>12</v>
      </c>
      <c r="H523" s="43"/>
      <c r="I523" s="117" t="e">
        <f t="shared" si="47"/>
        <v>#DIV/0!</v>
      </c>
      <c r="J523" s="43"/>
      <c r="K523" s="44"/>
      <c r="L523" s="45"/>
      <c r="M523" s="43"/>
      <c r="N523" s="46"/>
      <c r="O523" s="46"/>
      <c r="P523" s="45"/>
      <c r="Q523" s="45"/>
      <c r="R523" s="45"/>
      <c r="S523" s="43"/>
      <c r="T523" s="43"/>
      <c r="U523" s="43"/>
      <c r="V523" s="43"/>
      <c r="W523" s="43"/>
      <c r="X523" s="43"/>
      <c r="Y523" s="43"/>
      <c r="Z523" s="43"/>
      <c r="AA523" s="43"/>
      <c r="AB523" s="43"/>
      <c r="AC523" s="43"/>
      <c r="AD523" s="43"/>
      <c r="AE523" s="48"/>
      <c r="AF523" s="48"/>
      <c r="AG523" s="48"/>
      <c r="AH523" s="50"/>
    </row>
    <row r="524" spans="1:34" ht="14.5">
      <c r="A524" s="40">
        <v>2017</v>
      </c>
      <c r="B524" s="41" t="s">
        <v>1062</v>
      </c>
      <c r="C524" s="41" t="s">
        <v>1063</v>
      </c>
      <c r="D524" s="41" t="s">
        <v>105</v>
      </c>
      <c r="E524" s="40">
        <v>12</v>
      </c>
      <c r="H524" s="43"/>
      <c r="I524" s="117" t="e">
        <f t="shared" si="47"/>
        <v>#DIV/0!</v>
      </c>
      <c r="J524" s="43"/>
      <c r="K524" s="44"/>
      <c r="L524" s="45"/>
      <c r="M524" s="43"/>
      <c r="N524" s="46"/>
      <c r="O524" s="46"/>
      <c r="P524" s="45"/>
      <c r="Q524" s="45"/>
      <c r="R524" s="45"/>
      <c r="S524" s="43"/>
      <c r="T524" s="43"/>
      <c r="U524" s="43"/>
      <c r="V524" s="43"/>
      <c r="W524" s="43"/>
      <c r="X524" s="43"/>
      <c r="Y524" s="43"/>
      <c r="Z524" s="43"/>
      <c r="AA524" s="43"/>
      <c r="AB524" s="43"/>
      <c r="AC524" s="43"/>
      <c r="AD524" s="43"/>
      <c r="AE524" s="48"/>
      <c r="AF524" s="48"/>
      <c r="AG524" s="48"/>
      <c r="AH524" s="50"/>
    </row>
    <row r="525" spans="1:34" ht="14.5">
      <c r="A525" s="40">
        <v>2010</v>
      </c>
      <c r="B525" s="41" t="s">
        <v>1073</v>
      </c>
      <c r="C525" s="41" t="s">
        <v>1074</v>
      </c>
      <c r="D525" s="41" t="s">
        <v>105</v>
      </c>
      <c r="E525" s="40">
        <v>11</v>
      </c>
      <c r="H525" s="43"/>
      <c r="I525" s="117" t="e">
        <f t="shared" si="47"/>
        <v>#DIV/0!</v>
      </c>
      <c r="J525" s="43"/>
      <c r="K525" s="44"/>
      <c r="L525" s="45"/>
      <c r="M525" s="43"/>
      <c r="N525" s="46"/>
      <c r="O525" s="46"/>
      <c r="P525" s="45"/>
      <c r="Q525" s="45"/>
      <c r="R525" s="45"/>
      <c r="S525" s="43"/>
      <c r="T525" s="43"/>
      <c r="U525" s="43"/>
      <c r="V525" s="43"/>
      <c r="W525" s="43"/>
      <c r="X525" s="43"/>
      <c r="Y525" s="43"/>
      <c r="Z525" s="43"/>
      <c r="AA525" s="43"/>
      <c r="AB525" s="43"/>
      <c r="AC525" s="43"/>
      <c r="AD525" s="43"/>
      <c r="AE525" s="48"/>
      <c r="AF525" s="48"/>
      <c r="AG525" s="48"/>
      <c r="AH525" s="50"/>
    </row>
    <row r="526" spans="1:34" ht="14.5">
      <c r="A526" s="40">
        <v>2011</v>
      </c>
      <c r="B526" s="41" t="s">
        <v>1073</v>
      </c>
      <c r="C526" s="41" t="s">
        <v>1074</v>
      </c>
      <c r="D526" s="41" t="s">
        <v>105</v>
      </c>
      <c r="E526" s="40">
        <v>11</v>
      </c>
      <c r="H526" s="43"/>
      <c r="I526" s="117" t="e">
        <f t="shared" si="47"/>
        <v>#DIV/0!</v>
      </c>
      <c r="J526" s="43"/>
      <c r="K526" s="44"/>
      <c r="L526" s="45"/>
      <c r="M526" s="43"/>
      <c r="N526" s="46"/>
      <c r="O526" s="46"/>
      <c r="P526" s="45"/>
      <c r="Q526" s="45"/>
      <c r="R526" s="45"/>
      <c r="S526" s="43"/>
      <c r="T526" s="43"/>
      <c r="U526" s="43"/>
      <c r="V526" s="43"/>
      <c r="W526" s="43"/>
      <c r="X526" s="43"/>
      <c r="Y526" s="43"/>
      <c r="Z526" s="43"/>
      <c r="AA526" s="43"/>
      <c r="AB526" s="43"/>
      <c r="AC526" s="43"/>
      <c r="AD526" s="43"/>
      <c r="AE526" s="48"/>
      <c r="AF526" s="48"/>
      <c r="AG526" s="48"/>
      <c r="AH526" s="50"/>
    </row>
    <row r="527" spans="1:34" ht="14.5">
      <c r="A527" s="40">
        <v>2012</v>
      </c>
      <c r="B527" s="41" t="s">
        <v>1073</v>
      </c>
      <c r="C527" s="41" t="s">
        <v>1074</v>
      </c>
      <c r="D527" s="41" t="s">
        <v>105</v>
      </c>
      <c r="E527" s="40">
        <v>11</v>
      </c>
      <c r="H527" s="43"/>
      <c r="I527" s="117" t="e">
        <f t="shared" si="47"/>
        <v>#DIV/0!</v>
      </c>
      <c r="J527" s="43"/>
      <c r="K527" s="44"/>
      <c r="L527" s="45"/>
      <c r="M527" s="43"/>
      <c r="N527" s="46"/>
      <c r="O527" s="46"/>
      <c r="P527" s="45"/>
      <c r="Q527" s="45"/>
      <c r="R527" s="45"/>
      <c r="S527" s="43"/>
      <c r="T527" s="43"/>
      <c r="U527" s="43"/>
      <c r="V527" s="43"/>
      <c r="W527" s="43"/>
      <c r="X527" s="43"/>
      <c r="Y527" s="43"/>
      <c r="Z527" s="43"/>
      <c r="AA527" s="43"/>
      <c r="AB527" s="43"/>
      <c r="AC527" s="43"/>
      <c r="AD527" s="43"/>
      <c r="AE527" s="48"/>
      <c r="AF527" s="48"/>
      <c r="AG527" s="48"/>
      <c r="AH527" s="50"/>
    </row>
    <row r="528" spans="1:34" ht="14.5">
      <c r="A528" s="40">
        <v>2013</v>
      </c>
      <c r="B528" s="41" t="s">
        <v>1073</v>
      </c>
      <c r="C528" s="41" t="s">
        <v>1074</v>
      </c>
      <c r="D528" s="41" t="s">
        <v>105</v>
      </c>
      <c r="E528" s="40">
        <v>11</v>
      </c>
      <c r="H528" s="43"/>
      <c r="I528" s="117" t="e">
        <f t="shared" si="47"/>
        <v>#DIV/0!</v>
      </c>
      <c r="J528" s="43"/>
      <c r="K528" s="44"/>
      <c r="L528" s="45"/>
      <c r="M528" s="43"/>
      <c r="N528" s="46"/>
      <c r="O528" s="46"/>
      <c r="P528" s="45"/>
      <c r="Q528" s="45"/>
      <c r="R528" s="45"/>
      <c r="S528" s="43"/>
      <c r="T528" s="43"/>
      <c r="U528" s="43"/>
      <c r="V528" s="43"/>
      <c r="W528" s="43"/>
      <c r="X528" s="43"/>
      <c r="Y528" s="43"/>
      <c r="Z528" s="43"/>
      <c r="AA528" s="43"/>
      <c r="AB528" s="43"/>
      <c r="AC528" s="43"/>
      <c r="AD528" s="43"/>
      <c r="AE528" s="48"/>
      <c r="AF528" s="48"/>
      <c r="AG528" s="48"/>
      <c r="AH528" s="50"/>
    </row>
    <row r="529" spans="1:34" ht="14.5">
      <c r="A529" s="40">
        <v>2014</v>
      </c>
      <c r="B529" s="41" t="s">
        <v>1073</v>
      </c>
      <c r="C529" s="41" t="s">
        <v>1074</v>
      </c>
      <c r="D529" s="41" t="s">
        <v>105</v>
      </c>
      <c r="E529" s="40">
        <v>11</v>
      </c>
      <c r="H529" s="43"/>
      <c r="I529" s="117" t="e">
        <f t="shared" si="47"/>
        <v>#DIV/0!</v>
      </c>
      <c r="J529" s="43"/>
      <c r="K529" s="44"/>
      <c r="L529" s="45"/>
      <c r="M529" s="43"/>
      <c r="N529" s="46"/>
      <c r="O529" s="46"/>
      <c r="P529" s="45"/>
      <c r="Q529" s="45"/>
      <c r="R529" s="45"/>
      <c r="S529" s="43"/>
      <c r="T529" s="43"/>
      <c r="U529" s="43"/>
      <c r="V529" s="43"/>
      <c r="W529" s="43"/>
      <c r="X529" s="43"/>
      <c r="Y529" s="43"/>
      <c r="Z529" s="43"/>
      <c r="AA529" s="43"/>
      <c r="AB529" s="43"/>
      <c r="AC529" s="43"/>
      <c r="AD529" s="43"/>
      <c r="AE529" s="48"/>
      <c r="AF529" s="48"/>
      <c r="AG529" s="48"/>
      <c r="AH529" s="50"/>
    </row>
    <row r="530" spans="1:34" ht="14.5">
      <c r="A530" s="40">
        <v>2015</v>
      </c>
      <c r="B530" s="41" t="s">
        <v>1073</v>
      </c>
      <c r="C530" s="41" t="s">
        <v>1074</v>
      </c>
      <c r="D530" s="41" t="s">
        <v>105</v>
      </c>
      <c r="E530" s="40">
        <v>11</v>
      </c>
      <c r="H530" s="43"/>
      <c r="I530" s="117" t="e">
        <f t="shared" si="47"/>
        <v>#DIV/0!</v>
      </c>
      <c r="J530" s="43"/>
      <c r="K530" s="44"/>
      <c r="L530" s="45"/>
      <c r="M530" s="43"/>
      <c r="N530" s="46"/>
      <c r="O530" s="46"/>
      <c r="P530" s="45"/>
      <c r="Q530" s="45"/>
      <c r="R530" s="45"/>
      <c r="S530" s="43"/>
      <c r="T530" s="43"/>
      <c r="U530" s="43"/>
      <c r="V530" s="43"/>
      <c r="W530" s="43"/>
      <c r="X530" s="43"/>
      <c r="Y530" s="43"/>
      <c r="Z530" s="43"/>
      <c r="AA530" s="43"/>
      <c r="AB530" s="43"/>
      <c r="AC530" s="43"/>
      <c r="AD530" s="43"/>
      <c r="AE530" s="48"/>
      <c r="AF530" s="48"/>
      <c r="AG530" s="48"/>
      <c r="AH530" s="50"/>
    </row>
    <row r="531" spans="1:34" ht="14.5">
      <c r="A531" s="40">
        <v>2016</v>
      </c>
      <c r="B531" s="41" t="s">
        <v>1073</v>
      </c>
      <c r="C531" s="41" t="s">
        <v>1074</v>
      </c>
      <c r="D531" s="41" t="s">
        <v>105</v>
      </c>
      <c r="E531" s="40">
        <v>11</v>
      </c>
      <c r="H531" s="43"/>
      <c r="I531" s="117" t="e">
        <f t="shared" si="47"/>
        <v>#DIV/0!</v>
      </c>
      <c r="J531" s="43"/>
      <c r="K531" s="44"/>
      <c r="L531" s="45"/>
      <c r="M531" s="43"/>
      <c r="N531" s="46"/>
      <c r="O531" s="46"/>
      <c r="P531" s="45"/>
      <c r="Q531" s="45"/>
      <c r="R531" s="45"/>
      <c r="S531" s="43"/>
      <c r="T531" s="43"/>
      <c r="U531" s="43"/>
      <c r="V531" s="43"/>
      <c r="W531" s="43"/>
      <c r="X531" s="43"/>
      <c r="Y531" s="43"/>
      <c r="Z531" s="43"/>
      <c r="AA531" s="43"/>
      <c r="AB531" s="43"/>
      <c r="AC531" s="43"/>
      <c r="AD531" s="43"/>
      <c r="AE531" s="48"/>
      <c r="AF531" s="48"/>
      <c r="AG531" s="48"/>
      <c r="AH531" s="50"/>
    </row>
    <row r="532" spans="1:34" ht="14.5">
      <c r="A532" s="40">
        <v>2017</v>
      </c>
      <c r="B532" s="41" t="s">
        <v>1073</v>
      </c>
      <c r="C532" s="41" t="s">
        <v>1074</v>
      </c>
      <c r="D532" s="41" t="s">
        <v>105</v>
      </c>
      <c r="E532" s="40">
        <v>11</v>
      </c>
      <c r="H532" s="43"/>
      <c r="I532" s="117" t="e">
        <f t="shared" si="47"/>
        <v>#DIV/0!</v>
      </c>
      <c r="J532" s="43"/>
      <c r="K532" s="44"/>
      <c r="L532" s="45"/>
      <c r="M532" s="43"/>
      <c r="N532" s="46"/>
      <c r="O532" s="46"/>
      <c r="P532" s="45"/>
      <c r="Q532" s="45"/>
      <c r="R532" s="45"/>
      <c r="S532" s="43"/>
      <c r="T532" s="43"/>
      <c r="U532" s="43"/>
      <c r="V532" s="43"/>
      <c r="W532" s="43"/>
      <c r="X532" s="43"/>
      <c r="Y532" s="43"/>
      <c r="Z532" s="43"/>
      <c r="AA532" s="43"/>
      <c r="AB532" s="43"/>
      <c r="AC532" s="43"/>
      <c r="AD532" s="43"/>
      <c r="AE532" s="48"/>
      <c r="AF532" s="48"/>
      <c r="AG532" s="48"/>
      <c r="AH532" s="50"/>
    </row>
    <row r="533" spans="1:34" ht="14.5">
      <c r="A533" s="40">
        <v>2010</v>
      </c>
      <c r="B533" s="41" t="s">
        <v>1076</v>
      </c>
      <c r="C533" s="41" t="s">
        <v>1077</v>
      </c>
      <c r="D533" s="41" t="s">
        <v>363</v>
      </c>
      <c r="E533" s="40">
        <v>12</v>
      </c>
      <c r="H533" s="43"/>
      <c r="I533" s="117" t="e">
        <f t="shared" si="47"/>
        <v>#DIV/0!</v>
      </c>
      <c r="J533" s="43"/>
      <c r="K533" s="44"/>
      <c r="L533" s="45"/>
      <c r="M533" s="43"/>
      <c r="N533" s="46"/>
      <c r="O533" s="46"/>
      <c r="P533" s="45"/>
      <c r="Q533" s="45"/>
      <c r="R533" s="45"/>
      <c r="S533" s="43"/>
      <c r="T533" s="43"/>
      <c r="U533" s="43"/>
      <c r="V533" s="43"/>
      <c r="W533" s="43"/>
      <c r="X533" s="43"/>
      <c r="Y533" s="43"/>
      <c r="Z533" s="43"/>
      <c r="AA533" s="43"/>
      <c r="AB533" s="43"/>
      <c r="AC533" s="43"/>
      <c r="AD533" s="43"/>
      <c r="AE533" s="48"/>
      <c r="AF533" s="48"/>
      <c r="AG533" s="48"/>
      <c r="AH533" s="50"/>
    </row>
    <row r="534" spans="1:34" ht="14.5">
      <c r="A534" s="40">
        <v>2011</v>
      </c>
      <c r="B534" s="41" t="s">
        <v>1076</v>
      </c>
      <c r="C534" s="41" t="s">
        <v>1077</v>
      </c>
      <c r="D534" s="41" t="s">
        <v>363</v>
      </c>
      <c r="E534" s="40">
        <v>12</v>
      </c>
      <c r="H534" s="43"/>
      <c r="I534" s="117" t="e">
        <f t="shared" si="47"/>
        <v>#DIV/0!</v>
      </c>
      <c r="J534" s="43"/>
      <c r="K534" s="44"/>
      <c r="L534" s="45"/>
      <c r="M534" s="43"/>
      <c r="N534" s="46"/>
      <c r="O534" s="46"/>
      <c r="P534" s="45"/>
      <c r="Q534" s="45"/>
      <c r="R534" s="45"/>
      <c r="S534" s="43"/>
      <c r="T534" s="43"/>
      <c r="U534" s="43"/>
      <c r="V534" s="43"/>
      <c r="W534" s="43"/>
      <c r="X534" s="43"/>
      <c r="Y534" s="43"/>
      <c r="Z534" s="43"/>
      <c r="AA534" s="43"/>
      <c r="AB534" s="43"/>
      <c r="AC534" s="43"/>
      <c r="AD534" s="43"/>
      <c r="AE534" s="48"/>
      <c r="AF534" s="48"/>
      <c r="AG534" s="48"/>
      <c r="AH534" s="50"/>
    </row>
    <row r="535" spans="1:34" ht="14.5">
      <c r="A535" s="40">
        <v>2012</v>
      </c>
      <c r="B535" s="41" t="s">
        <v>1076</v>
      </c>
      <c r="C535" s="41" t="s">
        <v>1077</v>
      </c>
      <c r="D535" s="41" t="s">
        <v>363</v>
      </c>
      <c r="E535" s="40">
        <v>12</v>
      </c>
      <c r="H535" s="43"/>
      <c r="I535" s="117" t="e">
        <f t="shared" si="47"/>
        <v>#DIV/0!</v>
      </c>
      <c r="J535" s="43"/>
      <c r="K535" s="44"/>
      <c r="L535" s="45"/>
      <c r="M535" s="43"/>
      <c r="N535" s="46"/>
      <c r="O535" s="46"/>
      <c r="P535" s="45"/>
      <c r="Q535" s="45"/>
      <c r="R535" s="45"/>
      <c r="S535" s="43"/>
      <c r="T535" s="43"/>
      <c r="U535" s="43"/>
      <c r="V535" s="43"/>
      <c r="W535" s="43"/>
      <c r="X535" s="43"/>
      <c r="Y535" s="43"/>
      <c r="Z535" s="43"/>
      <c r="AA535" s="43"/>
      <c r="AB535" s="43"/>
      <c r="AC535" s="43"/>
      <c r="AD535" s="43"/>
      <c r="AE535" s="48"/>
      <c r="AF535" s="48"/>
      <c r="AG535" s="48"/>
      <c r="AH535" s="50"/>
    </row>
    <row r="536" spans="1:34" ht="14.5">
      <c r="A536" s="40">
        <v>2013</v>
      </c>
      <c r="B536" s="41" t="s">
        <v>1076</v>
      </c>
      <c r="C536" s="41" t="s">
        <v>1077</v>
      </c>
      <c r="D536" s="41" t="s">
        <v>363</v>
      </c>
      <c r="E536" s="40">
        <v>12</v>
      </c>
      <c r="H536" s="43"/>
      <c r="I536" s="117" t="e">
        <f t="shared" si="47"/>
        <v>#DIV/0!</v>
      </c>
      <c r="J536" s="43"/>
      <c r="K536" s="44"/>
      <c r="L536" s="45"/>
      <c r="M536" s="43"/>
      <c r="N536" s="46"/>
      <c r="O536" s="46"/>
      <c r="P536" s="45"/>
      <c r="Q536" s="45"/>
      <c r="R536" s="45"/>
      <c r="S536" s="43"/>
      <c r="T536" s="43"/>
      <c r="U536" s="43"/>
      <c r="V536" s="43"/>
      <c r="W536" s="43"/>
      <c r="X536" s="43"/>
      <c r="Y536" s="43"/>
      <c r="Z536" s="43"/>
      <c r="AA536" s="43"/>
      <c r="AB536" s="43"/>
      <c r="AC536" s="43"/>
      <c r="AD536" s="43"/>
      <c r="AE536" s="48"/>
      <c r="AF536" s="48"/>
      <c r="AG536" s="48"/>
      <c r="AH536" s="50"/>
    </row>
    <row r="537" spans="1:34" ht="14.5">
      <c r="A537" s="40">
        <v>2014</v>
      </c>
      <c r="B537" s="41" t="s">
        <v>1076</v>
      </c>
      <c r="C537" s="41" t="s">
        <v>1077</v>
      </c>
      <c r="D537" s="41" t="s">
        <v>363</v>
      </c>
      <c r="E537" s="40">
        <v>12</v>
      </c>
      <c r="H537" s="43"/>
      <c r="I537" s="117" t="e">
        <f t="shared" si="47"/>
        <v>#DIV/0!</v>
      </c>
      <c r="J537" s="43"/>
      <c r="K537" s="44"/>
      <c r="L537" s="45"/>
      <c r="M537" s="43"/>
      <c r="N537" s="46"/>
      <c r="O537" s="46"/>
      <c r="P537" s="45"/>
      <c r="Q537" s="45"/>
      <c r="R537" s="45"/>
      <c r="S537" s="43"/>
      <c r="T537" s="43"/>
      <c r="U537" s="43"/>
      <c r="V537" s="43"/>
      <c r="W537" s="43"/>
      <c r="X537" s="43"/>
      <c r="Y537" s="43"/>
      <c r="Z537" s="43"/>
      <c r="AA537" s="43"/>
      <c r="AB537" s="43"/>
      <c r="AC537" s="43"/>
      <c r="AD537" s="43"/>
      <c r="AE537" s="48"/>
      <c r="AF537" s="48"/>
      <c r="AG537" s="48"/>
      <c r="AH537" s="50"/>
    </row>
    <row r="538" spans="1:34" ht="14.5">
      <c r="A538" s="40">
        <v>2015</v>
      </c>
      <c r="B538" s="41" t="s">
        <v>1076</v>
      </c>
      <c r="C538" s="41" t="s">
        <v>1077</v>
      </c>
      <c r="D538" s="41" t="s">
        <v>363</v>
      </c>
      <c r="E538" s="40">
        <v>12</v>
      </c>
      <c r="H538" s="43"/>
      <c r="I538" s="117" t="e">
        <f t="shared" si="47"/>
        <v>#DIV/0!</v>
      </c>
      <c r="J538" s="43"/>
      <c r="K538" s="44"/>
      <c r="L538" s="45"/>
      <c r="M538" s="43"/>
      <c r="N538" s="46"/>
      <c r="O538" s="46"/>
      <c r="P538" s="45"/>
      <c r="Q538" s="45"/>
      <c r="R538" s="45"/>
      <c r="S538" s="43"/>
      <c r="T538" s="43"/>
      <c r="U538" s="43"/>
      <c r="V538" s="43"/>
      <c r="W538" s="43"/>
      <c r="X538" s="43"/>
      <c r="Y538" s="43"/>
      <c r="Z538" s="43"/>
      <c r="AA538" s="43"/>
      <c r="AB538" s="43"/>
      <c r="AC538" s="43"/>
      <c r="AD538" s="43"/>
      <c r="AE538" s="48"/>
      <c r="AF538" s="48"/>
      <c r="AG538" s="48"/>
      <c r="AH538" s="50"/>
    </row>
    <row r="539" spans="1:34" ht="14.5">
      <c r="A539" s="40">
        <v>2016</v>
      </c>
      <c r="B539" s="41" t="s">
        <v>1076</v>
      </c>
      <c r="C539" s="41" t="s">
        <v>1077</v>
      </c>
      <c r="D539" s="41" t="s">
        <v>363</v>
      </c>
      <c r="E539" s="40">
        <v>12</v>
      </c>
      <c r="H539" s="43"/>
      <c r="I539" s="117" t="e">
        <f t="shared" si="47"/>
        <v>#DIV/0!</v>
      </c>
      <c r="J539" s="43"/>
      <c r="K539" s="44"/>
      <c r="L539" s="45"/>
      <c r="M539" s="43"/>
      <c r="N539" s="46"/>
      <c r="O539" s="46"/>
      <c r="P539" s="45"/>
      <c r="Q539" s="45"/>
      <c r="R539" s="45"/>
      <c r="S539" s="43"/>
      <c r="T539" s="43"/>
      <c r="U539" s="43"/>
      <c r="V539" s="43"/>
      <c r="W539" s="43"/>
      <c r="X539" s="43"/>
      <c r="Y539" s="43"/>
      <c r="Z539" s="43"/>
      <c r="AA539" s="43"/>
      <c r="AB539" s="43"/>
      <c r="AC539" s="43"/>
      <c r="AD539" s="43"/>
      <c r="AE539" s="48"/>
      <c r="AF539" s="48"/>
      <c r="AG539" s="48"/>
      <c r="AH539" s="50"/>
    </row>
    <row r="540" spans="1:34" ht="14.5">
      <c r="A540" s="40">
        <v>2017</v>
      </c>
      <c r="B540" s="41" t="s">
        <v>1076</v>
      </c>
      <c r="C540" s="41" t="s">
        <v>1077</v>
      </c>
      <c r="D540" s="41" t="s">
        <v>363</v>
      </c>
      <c r="E540" s="40">
        <v>12</v>
      </c>
      <c r="H540" s="43"/>
      <c r="I540" s="117" t="e">
        <f t="shared" si="47"/>
        <v>#DIV/0!</v>
      </c>
      <c r="J540" s="43"/>
      <c r="K540" s="44"/>
      <c r="L540" s="45"/>
      <c r="M540" s="43"/>
      <c r="N540" s="46"/>
      <c r="O540" s="46"/>
      <c r="P540" s="45"/>
      <c r="Q540" s="45"/>
      <c r="R540" s="45"/>
      <c r="S540" s="43"/>
      <c r="T540" s="43"/>
      <c r="U540" s="43"/>
      <c r="V540" s="43"/>
      <c r="W540" s="43"/>
      <c r="X540" s="43"/>
      <c r="Y540" s="43"/>
      <c r="Z540" s="43"/>
      <c r="AA540" s="43"/>
      <c r="AB540" s="43"/>
      <c r="AC540" s="43"/>
      <c r="AD540" s="43"/>
      <c r="AE540" s="48"/>
      <c r="AF540" s="48"/>
      <c r="AG540" s="48"/>
      <c r="AH540" s="50"/>
    </row>
    <row r="541" spans="1:34" ht="14.5">
      <c r="A541" s="40">
        <v>2011</v>
      </c>
      <c r="B541" s="41" t="s">
        <v>1087</v>
      </c>
      <c r="C541" s="41" t="s">
        <v>1088</v>
      </c>
      <c r="D541" s="41" t="s">
        <v>105</v>
      </c>
      <c r="E541" s="40">
        <v>14</v>
      </c>
      <c r="H541" s="43"/>
      <c r="I541" s="117" t="e">
        <f t="shared" si="47"/>
        <v>#DIV/0!</v>
      </c>
      <c r="J541" s="43"/>
      <c r="K541" s="44"/>
      <c r="L541" s="45"/>
      <c r="M541" s="43"/>
      <c r="N541" s="46"/>
      <c r="O541" s="46"/>
      <c r="P541" s="45"/>
      <c r="Q541" s="45"/>
      <c r="R541" s="45"/>
      <c r="S541" s="43"/>
      <c r="T541" s="43"/>
      <c r="U541" s="43"/>
      <c r="V541" s="43"/>
      <c r="W541" s="43"/>
      <c r="X541" s="43"/>
      <c r="Y541" s="43"/>
      <c r="Z541" s="43"/>
      <c r="AA541" s="43"/>
      <c r="AB541" s="43"/>
      <c r="AC541" s="43"/>
      <c r="AD541" s="43"/>
      <c r="AE541" s="48"/>
      <c r="AF541" s="48"/>
      <c r="AG541" s="48"/>
      <c r="AH541" s="50"/>
    </row>
    <row r="542" spans="1:34" ht="14.5">
      <c r="A542" s="40">
        <v>2012</v>
      </c>
      <c r="B542" s="41" t="s">
        <v>1087</v>
      </c>
      <c r="C542" s="41" t="s">
        <v>1088</v>
      </c>
      <c r="D542" s="41" t="s">
        <v>105</v>
      </c>
      <c r="E542" s="40">
        <v>14</v>
      </c>
      <c r="H542" s="43"/>
      <c r="I542" s="117" t="e">
        <f t="shared" si="47"/>
        <v>#DIV/0!</v>
      </c>
      <c r="J542" s="43"/>
      <c r="K542" s="44"/>
      <c r="L542" s="45"/>
      <c r="M542" s="43"/>
      <c r="N542" s="46"/>
      <c r="O542" s="46"/>
      <c r="P542" s="45"/>
      <c r="Q542" s="45"/>
      <c r="R542" s="45"/>
      <c r="S542" s="43"/>
      <c r="T542" s="43"/>
      <c r="U542" s="43"/>
      <c r="V542" s="43"/>
      <c r="W542" s="43"/>
      <c r="X542" s="43"/>
      <c r="Y542" s="43"/>
      <c r="Z542" s="43"/>
      <c r="AA542" s="43"/>
      <c r="AB542" s="43"/>
      <c r="AC542" s="43"/>
      <c r="AD542" s="43"/>
      <c r="AE542" s="48"/>
      <c r="AF542" s="48"/>
      <c r="AG542" s="48"/>
      <c r="AH542" s="50"/>
    </row>
    <row r="543" spans="1:34" ht="14.5">
      <c r="A543" s="40">
        <v>2013</v>
      </c>
      <c r="B543" s="41" t="s">
        <v>1087</v>
      </c>
      <c r="C543" s="41" t="s">
        <v>1088</v>
      </c>
      <c r="D543" s="41" t="s">
        <v>105</v>
      </c>
      <c r="E543" s="40">
        <v>14</v>
      </c>
      <c r="H543" s="43"/>
      <c r="I543" s="117" t="e">
        <f t="shared" si="47"/>
        <v>#DIV/0!</v>
      </c>
      <c r="J543" s="43"/>
      <c r="K543" s="44"/>
      <c r="L543" s="45"/>
      <c r="M543" s="43"/>
      <c r="N543" s="46"/>
      <c r="O543" s="46"/>
      <c r="P543" s="45"/>
      <c r="Q543" s="45"/>
      <c r="R543" s="45"/>
      <c r="S543" s="43"/>
      <c r="T543" s="43"/>
      <c r="U543" s="43"/>
      <c r="V543" s="43"/>
      <c r="W543" s="43"/>
      <c r="X543" s="43"/>
      <c r="Y543" s="43"/>
      <c r="Z543" s="43"/>
      <c r="AA543" s="43"/>
      <c r="AB543" s="43"/>
      <c r="AC543" s="43"/>
      <c r="AD543" s="43"/>
      <c r="AE543" s="48"/>
      <c r="AF543" s="48"/>
      <c r="AG543" s="48"/>
      <c r="AH543" s="50"/>
    </row>
    <row r="544" spans="1:34" ht="14.5">
      <c r="A544" s="40">
        <v>2014</v>
      </c>
      <c r="B544" s="41" t="s">
        <v>1087</v>
      </c>
      <c r="C544" s="41" t="s">
        <v>1088</v>
      </c>
      <c r="D544" s="41" t="s">
        <v>105</v>
      </c>
      <c r="E544" s="40">
        <v>14</v>
      </c>
      <c r="H544" s="43"/>
      <c r="I544" s="117" t="e">
        <f t="shared" si="47"/>
        <v>#DIV/0!</v>
      </c>
      <c r="J544" s="43"/>
      <c r="K544" s="44"/>
      <c r="L544" s="45"/>
      <c r="M544" s="43"/>
      <c r="N544" s="46"/>
      <c r="O544" s="46"/>
      <c r="P544" s="45"/>
      <c r="Q544" s="45"/>
      <c r="R544" s="45"/>
      <c r="S544" s="43"/>
      <c r="T544" s="43"/>
      <c r="U544" s="43"/>
      <c r="V544" s="43"/>
      <c r="W544" s="43"/>
      <c r="X544" s="43"/>
      <c r="Y544" s="43"/>
      <c r="Z544" s="43"/>
      <c r="AA544" s="43"/>
      <c r="AB544" s="43"/>
      <c r="AC544" s="43"/>
      <c r="AD544" s="43"/>
      <c r="AE544" s="48"/>
      <c r="AF544" s="48"/>
      <c r="AG544" s="48"/>
      <c r="AH544" s="50"/>
    </row>
    <row r="545" spans="1:34" ht="14.5">
      <c r="A545" s="40">
        <v>2015</v>
      </c>
      <c r="B545" s="41" t="s">
        <v>1087</v>
      </c>
      <c r="C545" s="41" t="s">
        <v>1088</v>
      </c>
      <c r="D545" s="41" t="s">
        <v>105</v>
      </c>
      <c r="E545" s="40">
        <v>14</v>
      </c>
      <c r="H545" s="43"/>
      <c r="I545" s="117" t="e">
        <f t="shared" si="47"/>
        <v>#DIV/0!</v>
      </c>
      <c r="J545" s="43"/>
      <c r="K545" s="44"/>
      <c r="L545" s="45"/>
      <c r="M545" s="43"/>
      <c r="N545" s="46"/>
      <c r="O545" s="46"/>
      <c r="P545" s="45"/>
      <c r="Q545" s="45"/>
      <c r="R545" s="45"/>
      <c r="S545" s="43"/>
      <c r="T545" s="43"/>
      <c r="U545" s="43"/>
      <c r="V545" s="43"/>
      <c r="W545" s="43"/>
      <c r="X545" s="43"/>
      <c r="Y545" s="43"/>
      <c r="Z545" s="43"/>
      <c r="AA545" s="43"/>
      <c r="AB545" s="43"/>
      <c r="AC545" s="43"/>
      <c r="AD545" s="43"/>
      <c r="AE545" s="48"/>
      <c r="AF545" s="48"/>
      <c r="AG545" s="48"/>
      <c r="AH545" s="50"/>
    </row>
    <row r="546" spans="1:34" ht="14.5">
      <c r="A546" s="40">
        <v>2016</v>
      </c>
      <c r="B546" s="41" t="s">
        <v>1087</v>
      </c>
      <c r="C546" s="41" t="s">
        <v>1088</v>
      </c>
      <c r="D546" s="41" t="s">
        <v>105</v>
      </c>
      <c r="E546" s="40">
        <v>14</v>
      </c>
      <c r="H546" s="43"/>
      <c r="I546" s="117" t="e">
        <f t="shared" si="47"/>
        <v>#DIV/0!</v>
      </c>
      <c r="J546" s="43"/>
      <c r="K546" s="44"/>
      <c r="L546" s="45"/>
      <c r="M546" s="43"/>
      <c r="N546" s="46"/>
      <c r="O546" s="46"/>
      <c r="P546" s="45"/>
      <c r="Q546" s="45"/>
      <c r="R546" s="45"/>
      <c r="S546" s="43"/>
      <c r="T546" s="43"/>
      <c r="U546" s="43"/>
      <c r="V546" s="43"/>
      <c r="W546" s="43"/>
      <c r="X546" s="43"/>
      <c r="Y546" s="43"/>
      <c r="Z546" s="43"/>
      <c r="AA546" s="43"/>
      <c r="AB546" s="43"/>
      <c r="AC546" s="43"/>
      <c r="AD546" s="43"/>
      <c r="AE546" s="48"/>
      <c r="AF546" s="48"/>
      <c r="AG546" s="48"/>
      <c r="AH546" s="50"/>
    </row>
    <row r="547" spans="1:34" ht="14.5">
      <c r="A547" s="40">
        <v>2017</v>
      </c>
      <c r="B547" s="41" t="s">
        <v>1087</v>
      </c>
      <c r="C547" s="41" t="s">
        <v>1088</v>
      </c>
      <c r="D547" s="41" t="s">
        <v>105</v>
      </c>
      <c r="E547" s="40">
        <v>14</v>
      </c>
      <c r="H547" s="43"/>
      <c r="I547" s="117" t="e">
        <f t="shared" si="47"/>
        <v>#DIV/0!</v>
      </c>
      <c r="J547" s="43"/>
      <c r="K547" s="44"/>
      <c r="L547" s="45"/>
      <c r="M547" s="43"/>
      <c r="N547" s="46"/>
      <c r="O547" s="46"/>
      <c r="P547" s="45"/>
      <c r="Q547" s="45"/>
      <c r="R547" s="45"/>
      <c r="S547" s="43"/>
      <c r="T547" s="43"/>
      <c r="U547" s="43"/>
      <c r="V547" s="43"/>
      <c r="W547" s="43"/>
      <c r="X547" s="43"/>
      <c r="Y547" s="43"/>
      <c r="Z547" s="43"/>
      <c r="AA547" s="43"/>
      <c r="AB547" s="43"/>
      <c r="AC547" s="43"/>
      <c r="AD547" s="43"/>
      <c r="AE547" s="48"/>
      <c r="AF547" s="48"/>
      <c r="AG547" s="48"/>
      <c r="AH547" s="50"/>
    </row>
    <row r="548" spans="1:34" ht="14.5">
      <c r="A548" s="40">
        <v>2010</v>
      </c>
      <c r="B548" s="41" t="s">
        <v>1096</v>
      </c>
      <c r="C548" s="41" t="s">
        <v>1097</v>
      </c>
      <c r="D548" s="41" t="s">
        <v>363</v>
      </c>
      <c r="E548" s="40">
        <v>11</v>
      </c>
      <c r="H548" s="43"/>
      <c r="I548" s="117" t="e">
        <f t="shared" si="47"/>
        <v>#DIV/0!</v>
      </c>
      <c r="J548" s="43"/>
      <c r="K548" s="44"/>
      <c r="L548" s="45"/>
      <c r="M548" s="43"/>
      <c r="N548" s="46"/>
      <c r="O548" s="46"/>
      <c r="P548" s="45"/>
      <c r="Q548" s="45"/>
      <c r="R548" s="45"/>
      <c r="S548" s="43"/>
      <c r="T548" s="43"/>
      <c r="U548" s="43"/>
      <c r="V548" s="43"/>
      <c r="W548" s="43"/>
      <c r="X548" s="43"/>
      <c r="Y548" s="43"/>
      <c r="Z548" s="43"/>
      <c r="AA548" s="43"/>
      <c r="AB548" s="43"/>
      <c r="AC548" s="43"/>
      <c r="AD548" s="43"/>
      <c r="AE548" s="48"/>
      <c r="AF548" s="48"/>
      <c r="AG548" s="48"/>
      <c r="AH548" s="50"/>
    </row>
    <row r="549" spans="1:34" ht="14.5">
      <c r="A549" s="40">
        <v>2011</v>
      </c>
      <c r="B549" s="41" t="s">
        <v>1096</v>
      </c>
      <c r="C549" s="41" t="s">
        <v>1097</v>
      </c>
      <c r="D549" s="41" t="s">
        <v>363</v>
      </c>
      <c r="E549" s="40">
        <v>11</v>
      </c>
      <c r="H549" s="43"/>
      <c r="I549" s="117" t="e">
        <f t="shared" si="47"/>
        <v>#DIV/0!</v>
      </c>
      <c r="J549" s="43"/>
      <c r="K549" s="44"/>
      <c r="L549" s="45"/>
      <c r="M549" s="43"/>
      <c r="N549" s="46"/>
      <c r="O549" s="46"/>
      <c r="P549" s="45"/>
      <c r="Q549" s="45"/>
      <c r="R549" s="45"/>
      <c r="S549" s="43"/>
      <c r="T549" s="43"/>
      <c r="U549" s="43"/>
      <c r="V549" s="43"/>
      <c r="W549" s="43"/>
      <c r="X549" s="43"/>
      <c r="Y549" s="43"/>
      <c r="Z549" s="43"/>
      <c r="AA549" s="43"/>
      <c r="AB549" s="43"/>
      <c r="AC549" s="43"/>
      <c r="AD549" s="43"/>
      <c r="AE549" s="48"/>
      <c r="AF549" s="48"/>
      <c r="AG549" s="48"/>
      <c r="AH549" s="50"/>
    </row>
    <row r="550" spans="1:34" ht="14.5">
      <c r="A550" s="40">
        <v>2012</v>
      </c>
      <c r="B550" s="41" t="s">
        <v>1096</v>
      </c>
      <c r="C550" s="41" t="s">
        <v>1097</v>
      </c>
      <c r="D550" s="41" t="s">
        <v>363</v>
      </c>
      <c r="E550" s="40">
        <v>11</v>
      </c>
      <c r="H550" s="43"/>
      <c r="I550" s="117" t="e">
        <f t="shared" si="47"/>
        <v>#DIV/0!</v>
      </c>
      <c r="J550" s="43"/>
      <c r="K550" s="44"/>
      <c r="L550" s="45"/>
      <c r="M550" s="43"/>
      <c r="N550" s="46"/>
      <c r="O550" s="46"/>
      <c r="P550" s="45"/>
      <c r="Q550" s="45"/>
      <c r="R550" s="45"/>
      <c r="S550" s="43"/>
      <c r="T550" s="43"/>
      <c r="U550" s="43"/>
      <c r="V550" s="43"/>
      <c r="W550" s="43"/>
      <c r="X550" s="43"/>
      <c r="Y550" s="43"/>
      <c r="Z550" s="43"/>
      <c r="AA550" s="43"/>
      <c r="AB550" s="43"/>
      <c r="AC550" s="43"/>
      <c r="AD550" s="43"/>
      <c r="AE550" s="48"/>
      <c r="AF550" s="48"/>
      <c r="AG550" s="48"/>
      <c r="AH550" s="50"/>
    </row>
    <row r="551" spans="1:34" ht="14.5">
      <c r="A551" s="40">
        <v>2013</v>
      </c>
      <c r="B551" s="41" t="s">
        <v>1096</v>
      </c>
      <c r="C551" s="41" t="s">
        <v>1097</v>
      </c>
      <c r="D551" s="41" t="s">
        <v>363</v>
      </c>
      <c r="E551" s="40">
        <v>11</v>
      </c>
      <c r="H551" s="43"/>
      <c r="I551" s="117" t="e">
        <f t="shared" si="47"/>
        <v>#DIV/0!</v>
      </c>
      <c r="J551" s="43"/>
      <c r="K551" s="44"/>
      <c r="L551" s="45"/>
      <c r="M551" s="43"/>
      <c r="N551" s="46"/>
      <c r="O551" s="46"/>
      <c r="P551" s="45"/>
      <c r="Q551" s="45"/>
      <c r="R551" s="45"/>
      <c r="S551" s="43"/>
      <c r="T551" s="43"/>
      <c r="U551" s="43"/>
      <c r="V551" s="43"/>
      <c r="W551" s="43"/>
      <c r="X551" s="43"/>
      <c r="Y551" s="43"/>
      <c r="Z551" s="43"/>
      <c r="AA551" s="43"/>
      <c r="AB551" s="43"/>
      <c r="AC551" s="43"/>
      <c r="AD551" s="43"/>
      <c r="AE551" s="48"/>
      <c r="AF551" s="48"/>
      <c r="AG551" s="48"/>
      <c r="AH551" s="50"/>
    </row>
    <row r="552" spans="1:34" ht="14.5">
      <c r="A552" s="40">
        <v>2014</v>
      </c>
      <c r="B552" s="41" t="s">
        <v>1096</v>
      </c>
      <c r="C552" s="41" t="s">
        <v>1097</v>
      </c>
      <c r="D552" s="41" t="s">
        <v>363</v>
      </c>
      <c r="E552" s="40">
        <v>11</v>
      </c>
      <c r="H552" s="43"/>
      <c r="I552" s="117" t="e">
        <f t="shared" si="47"/>
        <v>#DIV/0!</v>
      </c>
      <c r="J552" s="43"/>
      <c r="K552" s="44"/>
      <c r="L552" s="45"/>
      <c r="M552" s="43"/>
      <c r="N552" s="46"/>
      <c r="O552" s="46"/>
      <c r="P552" s="45"/>
      <c r="Q552" s="45"/>
      <c r="R552" s="45"/>
      <c r="S552" s="43"/>
      <c r="T552" s="43"/>
      <c r="U552" s="43"/>
      <c r="V552" s="43"/>
      <c r="W552" s="43"/>
      <c r="X552" s="43"/>
      <c r="Y552" s="43"/>
      <c r="Z552" s="43"/>
      <c r="AA552" s="43"/>
      <c r="AB552" s="43"/>
      <c r="AC552" s="43"/>
      <c r="AD552" s="43"/>
      <c r="AE552" s="48"/>
      <c r="AF552" s="48"/>
      <c r="AG552" s="48"/>
      <c r="AH552" s="50"/>
    </row>
    <row r="553" spans="1:34" ht="14.5">
      <c r="A553" s="40">
        <v>2015</v>
      </c>
      <c r="B553" s="41" t="s">
        <v>1096</v>
      </c>
      <c r="C553" s="41" t="s">
        <v>1097</v>
      </c>
      <c r="D553" s="41" t="s">
        <v>363</v>
      </c>
      <c r="E553" s="40">
        <v>11</v>
      </c>
      <c r="H553" s="43"/>
      <c r="I553" s="117" t="e">
        <f t="shared" si="47"/>
        <v>#DIV/0!</v>
      </c>
      <c r="J553" s="43"/>
      <c r="K553" s="44"/>
      <c r="L553" s="45"/>
      <c r="M553" s="43"/>
      <c r="N553" s="46"/>
      <c r="O553" s="46"/>
      <c r="P553" s="45"/>
      <c r="Q553" s="45"/>
      <c r="R553" s="45"/>
      <c r="S553" s="43"/>
      <c r="T553" s="43"/>
      <c r="U553" s="43"/>
      <c r="V553" s="43"/>
      <c r="W553" s="43"/>
      <c r="X553" s="43"/>
      <c r="Y553" s="43"/>
      <c r="Z553" s="43"/>
      <c r="AA553" s="43"/>
      <c r="AB553" s="43"/>
      <c r="AC553" s="43"/>
      <c r="AD553" s="43"/>
      <c r="AE553" s="48"/>
      <c r="AF553" s="48"/>
      <c r="AG553" s="48"/>
      <c r="AH553" s="50"/>
    </row>
    <row r="554" spans="1:34" ht="14.5">
      <c r="A554" s="40">
        <v>2016</v>
      </c>
      <c r="B554" s="41" t="s">
        <v>1096</v>
      </c>
      <c r="C554" s="41" t="s">
        <v>1097</v>
      </c>
      <c r="D554" s="41" t="s">
        <v>363</v>
      </c>
      <c r="E554" s="40">
        <v>11</v>
      </c>
      <c r="H554" s="43"/>
      <c r="I554" s="117" t="e">
        <f t="shared" si="47"/>
        <v>#DIV/0!</v>
      </c>
      <c r="J554" s="43"/>
      <c r="K554" s="44"/>
      <c r="L554" s="45"/>
      <c r="M554" s="43"/>
      <c r="N554" s="46"/>
      <c r="O554" s="46"/>
      <c r="P554" s="45"/>
      <c r="Q554" s="45"/>
      <c r="R554" s="45"/>
      <c r="S554" s="43"/>
      <c r="T554" s="43"/>
      <c r="U554" s="43"/>
      <c r="V554" s="43"/>
      <c r="W554" s="43"/>
      <c r="X554" s="43"/>
      <c r="Y554" s="43"/>
      <c r="Z554" s="43"/>
      <c r="AA554" s="43"/>
      <c r="AB554" s="43"/>
      <c r="AC554" s="43"/>
      <c r="AD554" s="43"/>
      <c r="AE554" s="48"/>
      <c r="AF554" s="48"/>
      <c r="AG554" s="48"/>
      <c r="AH554" s="50"/>
    </row>
    <row r="555" spans="1:34" ht="14.5">
      <c r="A555" s="40">
        <v>2017</v>
      </c>
      <c r="B555" s="41" t="s">
        <v>1096</v>
      </c>
      <c r="C555" s="41" t="s">
        <v>1097</v>
      </c>
      <c r="D555" s="41" t="s">
        <v>105</v>
      </c>
      <c r="E555" s="40">
        <v>11</v>
      </c>
      <c r="H555" s="43"/>
      <c r="I555" s="117" t="e">
        <f t="shared" si="47"/>
        <v>#DIV/0!</v>
      </c>
      <c r="J555" s="43"/>
      <c r="K555" s="44"/>
      <c r="L555" s="45"/>
      <c r="M555" s="43"/>
      <c r="N555" s="46"/>
      <c r="O555" s="46"/>
      <c r="P555" s="45"/>
      <c r="Q555" s="45"/>
      <c r="R555" s="45"/>
      <c r="S555" s="43"/>
      <c r="T555" s="43"/>
      <c r="U555" s="43"/>
      <c r="V555" s="43"/>
      <c r="W555" s="43"/>
      <c r="X555" s="43"/>
      <c r="Y555" s="43"/>
      <c r="Z555" s="43"/>
      <c r="AA555" s="43"/>
      <c r="AB555" s="43"/>
      <c r="AC555" s="43"/>
      <c r="AD555" s="43"/>
      <c r="AE555" s="48"/>
      <c r="AF555" s="48"/>
      <c r="AG555" s="48"/>
      <c r="AH555" s="50"/>
    </row>
    <row r="556" spans="1:34" ht="14.5">
      <c r="A556" s="40">
        <v>2004</v>
      </c>
      <c r="B556" s="41" t="s">
        <v>1102</v>
      </c>
      <c r="C556" s="41" t="s">
        <v>1103</v>
      </c>
      <c r="D556" s="41" t="s">
        <v>105</v>
      </c>
      <c r="E556" s="40">
        <v>11</v>
      </c>
      <c r="H556" s="43"/>
      <c r="I556" s="117" t="e">
        <f t="shared" si="47"/>
        <v>#DIV/0!</v>
      </c>
      <c r="J556" s="43"/>
      <c r="K556" s="44"/>
      <c r="L556" s="45"/>
      <c r="M556" s="43"/>
      <c r="N556" s="46"/>
      <c r="O556" s="46"/>
      <c r="P556" s="45"/>
      <c r="Q556" s="45"/>
      <c r="R556" s="45"/>
      <c r="S556" s="43"/>
      <c r="T556" s="43"/>
      <c r="U556" s="43"/>
      <c r="V556" s="43"/>
      <c r="W556" s="43"/>
      <c r="X556" s="43"/>
      <c r="Y556" s="43"/>
      <c r="Z556" s="43"/>
      <c r="AA556" s="43"/>
      <c r="AB556" s="43"/>
      <c r="AC556" s="43"/>
      <c r="AD556" s="43"/>
      <c r="AE556" s="48"/>
      <c r="AF556" s="48"/>
      <c r="AG556" s="48"/>
      <c r="AH556" s="50"/>
    </row>
    <row r="557" spans="1:34" ht="14.5">
      <c r="A557" s="40">
        <v>2005</v>
      </c>
      <c r="B557" s="41" t="s">
        <v>1102</v>
      </c>
      <c r="C557" s="41" t="s">
        <v>1103</v>
      </c>
      <c r="D557" s="41" t="s">
        <v>105</v>
      </c>
      <c r="E557" s="40">
        <v>11</v>
      </c>
      <c r="H557" s="43"/>
      <c r="I557" s="117" t="e">
        <f t="shared" si="47"/>
        <v>#DIV/0!</v>
      </c>
      <c r="J557" s="43"/>
      <c r="K557" s="44"/>
      <c r="L557" s="45"/>
      <c r="M557" s="43"/>
      <c r="N557" s="46"/>
      <c r="O557" s="46"/>
      <c r="P557" s="45"/>
      <c r="Q557" s="45"/>
      <c r="R557" s="45"/>
      <c r="S557" s="43"/>
      <c r="T557" s="43"/>
      <c r="U557" s="43"/>
      <c r="V557" s="43"/>
      <c r="W557" s="43"/>
      <c r="X557" s="43"/>
      <c r="Y557" s="43"/>
      <c r="Z557" s="43"/>
      <c r="AA557" s="43"/>
      <c r="AB557" s="43"/>
      <c r="AC557" s="43"/>
      <c r="AD557" s="43"/>
      <c r="AE557" s="48"/>
      <c r="AF557" s="48"/>
      <c r="AG557" s="48"/>
      <c r="AH557" s="50"/>
    </row>
    <row r="558" spans="1:34" ht="14.5">
      <c r="A558" s="40">
        <v>2006</v>
      </c>
      <c r="B558" s="41" t="s">
        <v>1102</v>
      </c>
      <c r="C558" s="41" t="s">
        <v>1103</v>
      </c>
      <c r="D558" s="41" t="s">
        <v>105</v>
      </c>
      <c r="E558" s="40">
        <v>11</v>
      </c>
      <c r="H558" s="43"/>
      <c r="I558" s="117" t="e">
        <f t="shared" si="47"/>
        <v>#DIV/0!</v>
      </c>
      <c r="J558" s="43"/>
      <c r="K558" s="44"/>
      <c r="L558" s="45"/>
      <c r="M558" s="43"/>
      <c r="N558" s="46"/>
      <c r="O558" s="46"/>
      <c r="P558" s="45"/>
      <c r="Q558" s="45"/>
      <c r="R558" s="45"/>
      <c r="S558" s="43"/>
      <c r="T558" s="43"/>
      <c r="U558" s="43"/>
      <c r="V558" s="43"/>
      <c r="W558" s="43"/>
      <c r="X558" s="43"/>
      <c r="Y558" s="43"/>
      <c r="Z558" s="43"/>
      <c r="AA558" s="43"/>
      <c r="AB558" s="43"/>
      <c r="AC558" s="43"/>
      <c r="AD558" s="43"/>
      <c r="AE558" s="48"/>
      <c r="AF558" s="48"/>
      <c r="AG558" s="48"/>
      <c r="AH558" s="50"/>
    </row>
    <row r="559" spans="1:34" ht="14.5">
      <c r="A559" s="40">
        <v>2007</v>
      </c>
      <c r="B559" s="41" t="s">
        <v>1102</v>
      </c>
      <c r="C559" s="41" t="s">
        <v>1103</v>
      </c>
      <c r="D559" s="41" t="s">
        <v>105</v>
      </c>
      <c r="E559" s="40">
        <v>11</v>
      </c>
      <c r="H559" s="43"/>
      <c r="I559" s="117" t="e">
        <f t="shared" si="47"/>
        <v>#DIV/0!</v>
      </c>
      <c r="J559" s="43"/>
      <c r="K559" s="44"/>
      <c r="L559" s="45"/>
      <c r="M559" s="43"/>
      <c r="N559" s="46"/>
      <c r="O559" s="46"/>
      <c r="P559" s="45"/>
      <c r="Q559" s="45"/>
      <c r="R559" s="45"/>
      <c r="S559" s="43"/>
      <c r="T559" s="43"/>
      <c r="U559" s="43"/>
      <c r="V559" s="43"/>
      <c r="W559" s="43"/>
      <c r="X559" s="43"/>
      <c r="Y559" s="43"/>
      <c r="Z559" s="43"/>
      <c r="AA559" s="43"/>
      <c r="AB559" s="43"/>
      <c r="AC559" s="43"/>
      <c r="AD559" s="43"/>
      <c r="AE559" s="48"/>
      <c r="AF559" s="48"/>
      <c r="AG559" s="48"/>
      <c r="AH559" s="50"/>
    </row>
    <row r="560" spans="1:34" ht="14.5">
      <c r="A560" s="40">
        <v>2008</v>
      </c>
      <c r="B560" s="41" t="s">
        <v>1102</v>
      </c>
      <c r="C560" s="41" t="s">
        <v>1103</v>
      </c>
      <c r="D560" s="41" t="s">
        <v>105</v>
      </c>
      <c r="E560" s="40">
        <v>11</v>
      </c>
      <c r="H560" s="43"/>
      <c r="I560" s="117" t="e">
        <f t="shared" si="47"/>
        <v>#DIV/0!</v>
      </c>
      <c r="J560" s="43"/>
      <c r="K560" s="44"/>
      <c r="L560" s="45"/>
      <c r="M560" s="43"/>
      <c r="N560" s="46"/>
      <c r="O560" s="46"/>
      <c r="P560" s="45"/>
      <c r="Q560" s="45"/>
      <c r="R560" s="45"/>
      <c r="S560" s="43"/>
      <c r="T560" s="43"/>
      <c r="U560" s="43"/>
      <c r="V560" s="43"/>
      <c r="W560" s="43"/>
      <c r="X560" s="43"/>
      <c r="Y560" s="43"/>
      <c r="Z560" s="43"/>
      <c r="AA560" s="43"/>
      <c r="AB560" s="43"/>
      <c r="AC560" s="43"/>
      <c r="AD560" s="43"/>
      <c r="AE560" s="48"/>
      <c r="AF560" s="48"/>
      <c r="AG560" s="48"/>
      <c r="AH560" s="50"/>
    </row>
    <row r="561" spans="1:34" ht="14.5">
      <c r="A561" s="40">
        <v>2009</v>
      </c>
      <c r="B561" s="41" t="s">
        <v>1102</v>
      </c>
      <c r="C561" s="41" t="s">
        <v>1103</v>
      </c>
      <c r="D561" s="41" t="s">
        <v>105</v>
      </c>
      <c r="E561" s="40">
        <v>11</v>
      </c>
      <c r="F561" s="4" t="s">
        <v>1108</v>
      </c>
      <c r="H561" s="43"/>
      <c r="I561" s="117" t="e">
        <f t="shared" si="47"/>
        <v>#DIV/0!</v>
      </c>
      <c r="J561" s="43"/>
      <c r="K561" s="44"/>
      <c r="L561" s="45"/>
      <c r="M561" s="43"/>
      <c r="N561" s="46"/>
      <c r="O561" s="46"/>
      <c r="P561" s="45"/>
      <c r="Q561" s="45"/>
      <c r="R561" s="45"/>
      <c r="S561" s="43"/>
      <c r="T561" s="43"/>
      <c r="U561" s="43"/>
      <c r="V561" s="43"/>
      <c r="W561" s="43"/>
      <c r="X561" s="43"/>
      <c r="Y561" s="43"/>
      <c r="Z561" s="43"/>
      <c r="AA561" s="43"/>
      <c r="AB561" s="43"/>
      <c r="AC561" s="43"/>
      <c r="AD561" s="43"/>
      <c r="AE561" s="48"/>
      <c r="AF561" s="48"/>
      <c r="AG561" s="48"/>
      <c r="AH561" s="50"/>
    </row>
    <row r="562" spans="1:34" ht="14.5">
      <c r="A562" s="40">
        <v>2010</v>
      </c>
      <c r="B562" s="41" t="s">
        <v>1102</v>
      </c>
      <c r="C562" s="41" t="s">
        <v>1103</v>
      </c>
      <c r="D562" s="41" t="s">
        <v>105</v>
      </c>
      <c r="E562" s="40">
        <v>11</v>
      </c>
      <c r="H562" s="43"/>
      <c r="I562" s="117" t="e">
        <f t="shared" si="47"/>
        <v>#DIV/0!</v>
      </c>
      <c r="J562" s="43"/>
      <c r="K562" s="44"/>
      <c r="L562" s="45"/>
      <c r="M562" s="43"/>
      <c r="N562" s="46"/>
      <c r="O562" s="46"/>
      <c r="P562" s="45"/>
      <c r="Q562" s="45"/>
      <c r="R562" s="45"/>
      <c r="S562" s="43"/>
      <c r="T562" s="43"/>
      <c r="U562" s="43"/>
      <c r="V562" s="43"/>
      <c r="W562" s="43"/>
      <c r="X562" s="43"/>
      <c r="Y562" s="43"/>
      <c r="Z562" s="43"/>
      <c r="AA562" s="43"/>
      <c r="AB562" s="43"/>
      <c r="AC562" s="43"/>
      <c r="AD562" s="43"/>
      <c r="AE562" s="48"/>
      <c r="AF562" s="48"/>
      <c r="AG562" s="48"/>
      <c r="AH562" s="50"/>
    </row>
    <row r="563" spans="1:34" ht="14.5">
      <c r="A563" s="40">
        <v>2011</v>
      </c>
      <c r="B563" s="41" t="s">
        <v>1102</v>
      </c>
      <c r="C563" s="41" t="s">
        <v>1103</v>
      </c>
      <c r="D563" s="41" t="s">
        <v>105</v>
      </c>
      <c r="E563" s="40">
        <v>11</v>
      </c>
      <c r="H563" s="43"/>
      <c r="I563" s="117" t="e">
        <f t="shared" si="47"/>
        <v>#DIV/0!</v>
      </c>
      <c r="J563" s="43"/>
      <c r="K563" s="44"/>
      <c r="L563" s="45"/>
      <c r="M563" s="43"/>
      <c r="N563" s="46"/>
      <c r="O563" s="46"/>
      <c r="P563" s="45"/>
      <c r="Q563" s="45"/>
      <c r="R563" s="45"/>
      <c r="S563" s="43"/>
      <c r="T563" s="43"/>
      <c r="U563" s="43"/>
      <c r="V563" s="43"/>
      <c r="W563" s="43"/>
      <c r="X563" s="43"/>
      <c r="Y563" s="43"/>
      <c r="Z563" s="43"/>
      <c r="AA563" s="43"/>
      <c r="AB563" s="43"/>
      <c r="AC563" s="43"/>
      <c r="AD563" s="43"/>
      <c r="AE563" s="48"/>
      <c r="AF563" s="48"/>
      <c r="AG563" s="48"/>
      <c r="AH563" s="50"/>
    </row>
    <row r="564" spans="1:34" ht="14.5">
      <c r="A564" s="40">
        <v>2012</v>
      </c>
      <c r="B564" s="41" t="s">
        <v>1102</v>
      </c>
      <c r="C564" s="41" t="s">
        <v>1103</v>
      </c>
      <c r="D564" s="41" t="s">
        <v>105</v>
      </c>
      <c r="E564" s="40">
        <v>11</v>
      </c>
      <c r="H564" s="43"/>
      <c r="I564" s="117" t="e">
        <f t="shared" si="47"/>
        <v>#DIV/0!</v>
      </c>
      <c r="J564" s="43"/>
      <c r="K564" s="44"/>
      <c r="L564" s="45"/>
      <c r="M564" s="43"/>
      <c r="N564" s="46"/>
      <c r="O564" s="46"/>
      <c r="P564" s="45"/>
      <c r="Q564" s="45"/>
      <c r="R564" s="45"/>
      <c r="S564" s="43"/>
      <c r="T564" s="43"/>
      <c r="U564" s="43"/>
      <c r="V564" s="43"/>
      <c r="W564" s="43"/>
      <c r="X564" s="43"/>
      <c r="Y564" s="43"/>
      <c r="Z564" s="43"/>
      <c r="AA564" s="43"/>
      <c r="AB564" s="43"/>
      <c r="AC564" s="43"/>
      <c r="AD564" s="43"/>
      <c r="AE564" s="48"/>
      <c r="AF564" s="48"/>
      <c r="AG564" s="48"/>
      <c r="AH564" s="50"/>
    </row>
    <row r="565" spans="1:34" ht="14.5">
      <c r="A565" s="40">
        <v>2013</v>
      </c>
      <c r="B565" s="41" t="s">
        <v>1102</v>
      </c>
      <c r="C565" s="41" t="s">
        <v>1103</v>
      </c>
      <c r="D565" s="41" t="s">
        <v>105</v>
      </c>
      <c r="E565" s="40">
        <v>11</v>
      </c>
      <c r="H565" s="43"/>
      <c r="I565" s="117" t="e">
        <f t="shared" si="47"/>
        <v>#DIV/0!</v>
      </c>
      <c r="J565" s="43"/>
      <c r="K565" s="44"/>
      <c r="L565" s="45"/>
      <c r="M565" s="43"/>
      <c r="N565" s="46"/>
      <c r="O565" s="46"/>
      <c r="P565" s="45"/>
      <c r="Q565" s="45"/>
      <c r="R565" s="45"/>
      <c r="S565" s="43"/>
      <c r="T565" s="43"/>
      <c r="U565" s="43"/>
      <c r="V565" s="43"/>
      <c r="W565" s="43"/>
      <c r="X565" s="43"/>
      <c r="Y565" s="43"/>
      <c r="Z565" s="43"/>
      <c r="AA565" s="43"/>
      <c r="AB565" s="43"/>
      <c r="AC565" s="43"/>
      <c r="AD565" s="43"/>
      <c r="AE565" s="48"/>
      <c r="AF565" s="48"/>
      <c r="AG565" s="48"/>
      <c r="AH565" s="50"/>
    </row>
    <row r="566" spans="1:34" ht="14.5">
      <c r="A566" s="40">
        <v>2014</v>
      </c>
      <c r="B566" s="41" t="s">
        <v>1102</v>
      </c>
      <c r="C566" s="41" t="s">
        <v>1103</v>
      </c>
      <c r="D566" s="41" t="s">
        <v>105</v>
      </c>
      <c r="E566" s="40">
        <v>11</v>
      </c>
      <c r="H566" s="43"/>
      <c r="I566" s="117" t="e">
        <f t="shared" si="47"/>
        <v>#DIV/0!</v>
      </c>
      <c r="J566" s="43"/>
      <c r="K566" s="44"/>
      <c r="L566" s="45"/>
      <c r="M566" s="43"/>
      <c r="N566" s="46"/>
      <c r="O566" s="46"/>
      <c r="P566" s="45"/>
      <c r="Q566" s="45"/>
      <c r="R566" s="45"/>
      <c r="S566" s="43"/>
      <c r="T566" s="43"/>
      <c r="U566" s="43"/>
      <c r="V566" s="43"/>
      <c r="W566" s="43"/>
      <c r="X566" s="43"/>
      <c r="Y566" s="43"/>
      <c r="Z566" s="43"/>
      <c r="AA566" s="43"/>
      <c r="AB566" s="43"/>
      <c r="AC566" s="43"/>
      <c r="AD566" s="43"/>
      <c r="AE566" s="48"/>
      <c r="AF566" s="48"/>
      <c r="AG566" s="48"/>
      <c r="AH566" s="50"/>
    </row>
    <row r="567" spans="1:34" ht="14.5">
      <c r="A567" s="40">
        <v>2015</v>
      </c>
      <c r="B567" s="41" t="s">
        <v>1102</v>
      </c>
      <c r="C567" s="41" t="s">
        <v>1103</v>
      </c>
      <c r="D567" s="41" t="s">
        <v>105</v>
      </c>
      <c r="E567" s="40">
        <v>11</v>
      </c>
      <c r="H567" s="43"/>
      <c r="I567" s="117" t="e">
        <f t="shared" si="47"/>
        <v>#DIV/0!</v>
      </c>
      <c r="J567" s="43"/>
      <c r="K567" s="44"/>
      <c r="L567" s="45"/>
      <c r="M567" s="43"/>
      <c r="N567" s="46"/>
      <c r="O567" s="46"/>
      <c r="P567" s="45"/>
      <c r="Q567" s="45"/>
      <c r="R567" s="45"/>
      <c r="S567" s="43"/>
      <c r="T567" s="43"/>
      <c r="U567" s="43"/>
      <c r="V567" s="43"/>
      <c r="W567" s="43"/>
      <c r="X567" s="43"/>
      <c r="Y567" s="43"/>
      <c r="Z567" s="43"/>
      <c r="AA567" s="43"/>
      <c r="AB567" s="43"/>
      <c r="AC567" s="43"/>
      <c r="AD567" s="43"/>
      <c r="AE567" s="48"/>
      <c r="AF567" s="48"/>
      <c r="AG567" s="48"/>
      <c r="AH567" s="50"/>
    </row>
    <row r="568" spans="1:34" ht="14.5">
      <c r="A568" s="40">
        <v>2016</v>
      </c>
      <c r="B568" s="41" t="s">
        <v>1102</v>
      </c>
      <c r="C568" s="41" t="s">
        <v>1103</v>
      </c>
      <c r="D568" s="41" t="s">
        <v>105</v>
      </c>
      <c r="E568" s="40">
        <v>11</v>
      </c>
      <c r="H568" s="43"/>
      <c r="I568" s="117" t="e">
        <f t="shared" si="47"/>
        <v>#DIV/0!</v>
      </c>
      <c r="J568" s="43"/>
      <c r="K568" s="44"/>
      <c r="L568" s="45"/>
      <c r="M568" s="43"/>
      <c r="N568" s="46"/>
      <c r="O568" s="46"/>
      <c r="P568" s="45"/>
      <c r="Q568" s="45"/>
      <c r="R568" s="45"/>
      <c r="S568" s="43"/>
      <c r="T568" s="43"/>
      <c r="U568" s="43"/>
      <c r="V568" s="43"/>
      <c r="W568" s="43"/>
      <c r="X568" s="43"/>
      <c r="Y568" s="43"/>
      <c r="Z568" s="43"/>
      <c r="AA568" s="43"/>
      <c r="AB568" s="43"/>
      <c r="AC568" s="43"/>
      <c r="AD568" s="43"/>
      <c r="AE568" s="48"/>
      <c r="AF568" s="48"/>
      <c r="AG568" s="48"/>
      <c r="AH568" s="50"/>
    </row>
    <row r="569" spans="1:34" ht="14.5">
      <c r="A569" s="40">
        <v>2017</v>
      </c>
      <c r="B569" s="41" t="s">
        <v>1102</v>
      </c>
      <c r="C569" s="41" t="s">
        <v>1103</v>
      </c>
      <c r="D569" s="41" t="s">
        <v>105</v>
      </c>
      <c r="E569" s="40">
        <v>11</v>
      </c>
      <c r="H569" s="43"/>
      <c r="I569" s="117" t="e">
        <f t="shared" si="47"/>
        <v>#DIV/0!</v>
      </c>
      <c r="J569" s="43"/>
      <c r="K569" s="44"/>
      <c r="L569" s="45"/>
      <c r="M569" s="43"/>
      <c r="N569" s="46"/>
      <c r="O569" s="46"/>
      <c r="P569" s="45"/>
      <c r="Q569" s="45"/>
      <c r="R569" s="45"/>
      <c r="S569" s="43"/>
      <c r="T569" s="43"/>
      <c r="U569" s="43"/>
      <c r="V569" s="43"/>
      <c r="W569" s="43"/>
      <c r="X569" s="43"/>
      <c r="Y569" s="43"/>
      <c r="Z569" s="43"/>
      <c r="AA569" s="43"/>
      <c r="AB569" s="43"/>
      <c r="AC569" s="43"/>
      <c r="AD569" s="43"/>
      <c r="AE569" s="48"/>
      <c r="AF569" s="48"/>
      <c r="AG569" s="48"/>
      <c r="AH569" s="50"/>
    </row>
    <row r="570" spans="1:34" ht="14.5">
      <c r="A570" s="40">
        <v>2004</v>
      </c>
      <c r="B570" s="41" t="s">
        <v>1110</v>
      </c>
      <c r="C570" s="41" t="s">
        <v>1111</v>
      </c>
      <c r="D570" s="41" t="s">
        <v>105</v>
      </c>
      <c r="E570" s="40">
        <v>11</v>
      </c>
      <c r="H570" s="43"/>
      <c r="I570" s="117" t="e">
        <f t="shared" si="47"/>
        <v>#DIV/0!</v>
      </c>
      <c r="J570" s="43"/>
      <c r="K570" s="44"/>
      <c r="L570" s="45"/>
      <c r="M570" s="43"/>
      <c r="N570" s="46"/>
      <c r="O570" s="46"/>
      <c r="P570" s="45"/>
      <c r="Q570" s="45"/>
      <c r="R570" s="45"/>
      <c r="S570" s="43"/>
      <c r="T570" s="43"/>
      <c r="U570" s="43"/>
      <c r="V570" s="43"/>
      <c r="W570" s="43"/>
      <c r="X570" s="43"/>
      <c r="Y570" s="43"/>
      <c r="Z570" s="43"/>
      <c r="AA570" s="43"/>
      <c r="AB570" s="43"/>
      <c r="AC570" s="43"/>
      <c r="AD570" s="43"/>
      <c r="AE570" s="48"/>
      <c r="AF570" s="48"/>
      <c r="AG570" s="48"/>
      <c r="AH570" s="50"/>
    </row>
    <row r="571" spans="1:34" ht="14.5">
      <c r="A571" s="40">
        <v>2005</v>
      </c>
      <c r="B571" s="41" t="s">
        <v>1110</v>
      </c>
      <c r="C571" s="41" t="s">
        <v>1111</v>
      </c>
      <c r="D571" s="41" t="s">
        <v>105</v>
      </c>
      <c r="E571" s="40">
        <v>11</v>
      </c>
      <c r="H571" s="43"/>
      <c r="I571" s="117" t="e">
        <f t="shared" si="47"/>
        <v>#DIV/0!</v>
      </c>
      <c r="J571" s="43"/>
      <c r="K571" s="44"/>
      <c r="L571" s="45"/>
      <c r="M571" s="43"/>
      <c r="N571" s="46"/>
      <c r="O571" s="46"/>
      <c r="P571" s="45"/>
      <c r="Q571" s="45"/>
      <c r="R571" s="45"/>
      <c r="S571" s="43"/>
      <c r="T571" s="43"/>
      <c r="U571" s="43"/>
      <c r="V571" s="43"/>
      <c r="W571" s="43"/>
      <c r="X571" s="43"/>
      <c r="Y571" s="43"/>
      <c r="Z571" s="43"/>
      <c r="AA571" s="43"/>
      <c r="AB571" s="43"/>
      <c r="AC571" s="43"/>
      <c r="AD571" s="43"/>
      <c r="AE571" s="48"/>
      <c r="AF571" s="48"/>
      <c r="AG571" s="48"/>
      <c r="AH571" s="50"/>
    </row>
    <row r="572" spans="1:34" ht="14.5">
      <c r="A572" s="40">
        <v>2006</v>
      </c>
      <c r="B572" s="41" t="s">
        <v>1110</v>
      </c>
      <c r="C572" s="41" t="s">
        <v>1111</v>
      </c>
      <c r="D572" s="41" t="s">
        <v>105</v>
      </c>
      <c r="E572" s="40">
        <v>11</v>
      </c>
      <c r="H572" s="43"/>
      <c r="I572" s="117" t="e">
        <f t="shared" si="47"/>
        <v>#DIV/0!</v>
      </c>
      <c r="J572" s="43"/>
      <c r="K572" s="44"/>
      <c r="L572" s="45"/>
      <c r="M572" s="43"/>
      <c r="N572" s="46"/>
      <c r="O572" s="46"/>
      <c r="P572" s="45"/>
      <c r="Q572" s="45"/>
      <c r="R572" s="45"/>
      <c r="S572" s="43"/>
      <c r="T572" s="43"/>
      <c r="U572" s="43"/>
      <c r="V572" s="43"/>
      <c r="W572" s="43"/>
      <c r="X572" s="43"/>
      <c r="Y572" s="43"/>
      <c r="Z572" s="43"/>
      <c r="AA572" s="43"/>
      <c r="AB572" s="43"/>
      <c r="AC572" s="43"/>
      <c r="AD572" s="43"/>
      <c r="AE572" s="48"/>
      <c r="AF572" s="48"/>
      <c r="AG572" s="48"/>
      <c r="AH572" s="50"/>
    </row>
    <row r="573" spans="1:34" ht="14.5">
      <c r="A573" s="40">
        <v>2007</v>
      </c>
      <c r="B573" s="41" t="s">
        <v>1110</v>
      </c>
      <c r="C573" s="41" t="s">
        <v>1111</v>
      </c>
      <c r="D573" s="41" t="s">
        <v>105</v>
      </c>
      <c r="E573" s="40">
        <v>11</v>
      </c>
      <c r="H573" s="43"/>
      <c r="I573" s="117" t="e">
        <f t="shared" si="47"/>
        <v>#DIV/0!</v>
      </c>
      <c r="J573" s="43"/>
      <c r="K573" s="44"/>
      <c r="L573" s="45"/>
      <c r="M573" s="43"/>
      <c r="N573" s="46"/>
      <c r="O573" s="46"/>
      <c r="P573" s="45"/>
      <c r="Q573" s="45"/>
      <c r="R573" s="45"/>
      <c r="S573" s="43"/>
      <c r="T573" s="43"/>
      <c r="U573" s="43"/>
      <c r="V573" s="43"/>
      <c r="W573" s="43"/>
      <c r="X573" s="43"/>
      <c r="Y573" s="43"/>
      <c r="Z573" s="43"/>
      <c r="AA573" s="43"/>
      <c r="AB573" s="43"/>
      <c r="AC573" s="43"/>
      <c r="AD573" s="43"/>
      <c r="AE573" s="48"/>
      <c r="AF573" s="48"/>
      <c r="AG573" s="48"/>
      <c r="AH573" s="50"/>
    </row>
    <row r="574" spans="1:34" ht="14.5">
      <c r="A574" s="40">
        <v>2008</v>
      </c>
      <c r="B574" s="41" t="s">
        <v>1110</v>
      </c>
      <c r="C574" s="41" t="s">
        <v>1111</v>
      </c>
      <c r="D574" s="41" t="s">
        <v>105</v>
      </c>
      <c r="E574" s="40">
        <v>11</v>
      </c>
      <c r="H574" s="43"/>
      <c r="I574" s="117" t="e">
        <f t="shared" si="47"/>
        <v>#DIV/0!</v>
      </c>
      <c r="J574" s="43"/>
      <c r="K574" s="44"/>
      <c r="L574" s="45"/>
      <c r="M574" s="43"/>
      <c r="N574" s="46"/>
      <c r="O574" s="46"/>
      <c r="P574" s="45"/>
      <c r="Q574" s="45"/>
      <c r="R574" s="45"/>
      <c r="S574" s="43"/>
      <c r="T574" s="43"/>
      <c r="U574" s="43"/>
      <c r="V574" s="43"/>
      <c r="W574" s="43"/>
      <c r="X574" s="43"/>
      <c r="Y574" s="43"/>
      <c r="Z574" s="43"/>
      <c r="AA574" s="43"/>
      <c r="AB574" s="43"/>
      <c r="AC574" s="43"/>
      <c r="AD574" s="43"/>
      <c r="AE574" s="48"/>
      <c r="AF574" s="48"/>
      <c r="AG574" s="48"/>
      <c r="AH574" s="50"/>
    </row>
    <row r="575" spans="1:34" ht="14.5">
      <c r="A575" s="40">
        <v>2009</v>
      </c>
      <c r="B575" s="41" t="s">
        <v>1110</v>
      </c>
      <c r="C575" s="41" t="s">
        <v>1111</v>
      </c>
      <c r="D575" s="41" t="s">
        <v>105</v>
      </c>
      <c r="E575" s="40">
        <v>11</v>
      </c>
      <c r="H575" s="43"/>
      <c r="I575" s="117" t="e">
        <f t="shared" si="47"/>
        <v>#DIV/0!</v>
      </c>
      <c r="J575" s="43"/>
      <c r="K575" s="44"/>
      <c r="L575" s="45"/>
      <c r="M575" s="43"/>
      <c r="N575" s="46"/>
      <c r="O575" s="46"/>
      <c r="P575" s="45"/>
      <c r="Q575" s="45"/>
      <c r="R575" s="45"/>
      <c r="S575" s="43"/>
      <c r="T575" s="43"/>
      <c r="U575" s="43"/>
      <c r="V575" s="43"/>
      <c r="W575" s="43"/>
      <c r="X575" s="43"/>
      <c r="Y575" s="43"/>
      <c r="Z575" s="43"/>
      <c r="AA575" s="43"/>
      <c r="AB575" s="43"/>
      <c r="AC575" s="43"/>
      <c r="AD575" s="43"/>
      <c r="AE575" s="48"/>
      <c r="AF575" s="48"/>
      <c r="AG575" s="48"/>
      <c r="AH575" s="50"/>
    </row>
    <row r="576" spans="1:34" ht="14.5">
      <c r="A576" s="40">
        <v>2010</v>
      </c>
      <c r="B576" s="41" t="s">
        <v>1110</v>
      </c>
      <c r="C576" s="41" t="s">
        <v>1111</v>
      </c>
      <c r="D576" s="41" t="s">
        <v>105</v>
      </c>
      <c r="E576" s="40">
        <v>11</v>
      </c>
      <c r="H576" s="43"/>
      <c r="I576" s="117" t="e">
        <f t="shared" si="47"/>
        <v>#DIV/0!</v>
      </c>
      <c r="J576" s="43"/>
      <c r="K576" s="44"/>
      <c r="L576" s="45"/>
      <c r="M576" s="43"/>
      <c r="N576" s="46"/>
      <c r="O576" s="46"/>
      <c r="P576" s="45"/>
      <c r="Q576" s="45"/>
      <c r="R576" s="45"/>
      <c r="S576" s="43"/>
      <c r="T576" s="43"/>
      <c r="U576" s="43"/>
      <c r="V576" s="43"/>
      <c r="W576" s="43"/>
      <c r="X576" s="43"/>
      <c r="Y576" s="43"/>
      <c r="Z576" s="43"/>
      <c r="AA576" s="43"/>
      <c r="AB576" s="43"/>
      <c r="AC576" s="43"/>
      <c r="AD576" s="43"/>
      <c r="AE576" s="48"/>
      <c r="AF576" s="48"/>
      <c r="AG576" s="48"/>
      <c r="AH576" s="50"/>
    </row>
    <row r="577" spans="1:34" ht="14.5">
      <c r="A577" s="40">
        <v>2011</v>
      </c>
      <c r="B577" s="41" t="s">
        <v>1110</v>
      </c>
      <c r="C577" s="41" t="s">
        <v>1111</v>
      </c>
      <c r="D577" s="41" t="s">
        <v>105</v>
      </c>
      <c r="E577" s="40">
        <v>11</v>
      </c>
      <c r="H577" s="43"/>
      <c r="I577" s="117" t="e">
        <f t="shared" si="47"/>
        <v>#DIV/0!</v>
      </c>
      <c r="J577" s="43"/>
      <c r="K577" s="44"/>
      <c r="L577" s="45"/>
      <c r="M577" s="43"/>
      <c r="N577" s="46"/>
      <c r="O577" s="46"/>
      <c r="P577" s="45"/>
      <c r="Q577" s="45"/>
      <c r="R577" s="45"/>
      <c r="S577" s="43"/>
      <c r="T577" s="43"/>
      <c r="U577" s="43"/>
      <c r="V577" s="43"/>
      <c r="W577" s="43"/>
      <c r="X577" s="43"/>
      <c r="Y577" s="43"/>
      <c r="Z577" s="43"/>
      <c r="AA577" s="43"/>
      <c r="AB577" s="43"/>
      <c r="AC577" s="43"/>
      <c r="AD577" s="43"/>
      <c r="AE577" s="48"/>
      <c r="AF577" s="48"/>
      <c r="AG577" s="48"/>
      <c r="AH577" s="50"/>
    </row>
    <row r="578" spans="1:34" ht="14.5">
      <c r="A578" s="40">
        <v>2012</v>
      </c>
      <c r="B578" s="41" t="s">
        <v>1110</v>
      </c>
      <c r="C578" s="41" t="s">
        <v>1111</v>
      </c>
      <c r="D578" s="41" t="s">
        <v>105</v>
      </c>
      <c r="E578" s="40">
        <v>11</v>
      </c>
      <c r="H578" s="43"/>
      <c r="I578" s="117" t="e">
        <f t="shared" si="47"/>
        <v>#DIV/0!</v>
      </c>
      <c r="J578" s="43"/>
      <c r="K578" s="44"/>
      <c r="L578" s="45"/>
      <c r="M578" s="43"/>
      <c r="N578" s="46"/>
      <c r="O578" s="46"/>
      <c r="P578" s="45"/>
      <c r="Q578" s="45"/>
      <c r="R578" s="45"/>
      <c r="S578" s="43"/>
      <c r="T578" s="43"/>
      <c r="U578" s="43"/>
      <c r="V578" s="43"/>
      <c r="W578" s="43"/>
      <c r="X578" s="43"/>
      <c r="Y578" s="43"/>
      <c r="Z578" s="43"/>
      <c r="AA578" s="43"/>
      <c r="AB578" s="43"/>
      <c r="AC578" s="43"/>
      <c r="AD578" s="43"/>
      <c r="AE578" s="48"/>
      <c r="AF578" s="48"/>
      <c r="AG578" s="48"/>
      <c r="AH578" s="50"/>
    </row>
    <row r="579" spans="1:34" ht="14.5">
      <c r="A579" s="40">
        <v>2013</v>
      </c>
      <c r="B579" s="41" t="s">
        <v>1110</v>
      </c>
      <c r="C579" s="41" t="s">
        <v>1111</v>
      </c>
      <c r="D579" s="41" t="s">
        <v>105</v>
      </c>
      <c r="E579" s="40">
        <v>11</v>
      </c>
      <c r="H579" s="43"/>
      <c r="I579" s="117" t="e">
        <f t="shared" si="47"/>
        <v>#DIV/0!</v>
      </c>
      <c r="J579" s="43"/>
      <c r="K579" s="44"/>
      <c r="L579" s="45"/>
      <c r="M579" s="43"/>
      <c r="N579" s="46"/>
      <c r="O579" s="46"/>
      <c r="P579" s="45"/>
      <c r="Q579" s="45"/>
      <c r="R579" s="45"/>
      <c r="S579" s="43"/>
      <c r="T579" s="43"/>
      <c r="U579" s="43"/>
      <c r="V579" s="43"/>
      <c r="W579" s="43"/>
      <c r="X579" s="43"/>
      <c r="Y579" s="43"/>
      <c r="Z579" s="43"/>
      <c r="AA579" s="43"/>
      <c r="AB579" s="43"/>
      <c r="AC579" s="43"/>
      <c r="AD579" s="43"/>
      <c r="AE579" s="48"/>
      <c r="AF579" s="48"/>
      <c r="AG579" s="48"/>
      <c r="AH579" s="50"/>
    </row>
    <row r="580" spans="1:34" ht="14.5">
      <c r="A580" s="40">
        <v>2014</v>
      </c>
      <c r="B580" s="41" t="s">
        <v>1110</v>
      </c>
      <c r="C580" s="41" t="s">
        <v>1111</v>
      </c>
      <c r="D580" s="41" t="s">
        <v>105</v>
      </c>
      <c r="E580" s="40">
        <v>11</v>
      </c>
      <c r="H580" s="43"/>
      <c r="I580" s="117" t="e">
        <f t="shared" si="47"/>
        <v>#DIV/0!</v>
      </c>
      <c r="J580" s="43"/>
      <c r="K580" s="44"/>
      <c r="L580" s="45"/>
      <c r="M580" s="43"/>
      <c r="N580" s="46"/>
      <c r="O580" s="46"/>
      <c r="P580" s="45"/>
      <c r="Q580" s="45"/>
      <c r="R580" s="45"/>
      <c r="S580" s="43"/>
      <c r="T580" s="43"/>
      <c r="U580" s="43"/>
      <c r="V580" s="43"/>
      <c r="W580" s="43"/>
      <c r="X580" s="43"/>
      <c r="Y580" s="43"/>
      <c r="Z580" s="43"/>
      <c r="AA580" s="43"/>
      <c r="AB580" s="43"/>
      <c r="AC580" s="43"/>
      <c r="AD580" s="43"/>
      <c r="AE580" s="48"/>
      <c r="AF580" s="48"/>
      <c r="AG580" s="48"/>
      <c r="AH580" s="50"/>
    </row>
    <row r="581" spans="1:34" ht="14.5">
      <c r="A581" s="40">
        <v>2015</v>
      </c>
      <c r="B581" s="41" t="s">
        <v>1110</v>
      </c>
      <c r="C581" s="41" t="s">
        <v>1111</v>
      </c>
      <c r="D581" s="41" t="s">
        <v>105</v>
      </c>
      <c r="E581" s="40">
        <v>11</v>
      </c>
      <c r="H581" s="43"/>
      <c r="I581" s="117" t="e">
        <f t="shared" si="47"/>
        <v>#DIV/0!</v>
      </c>
      <c r="J581" s="43"/>
      <c r="K581" s="44"/>
      <c r="L581" s="45"/>
      <c r="M581" s="43"/>
      <c r="N581" s="46"/>
      <c r="O581" s="46"/>
      <c r="P581" s="45"/>
      <c r="Q581" s="45"/>
      <c r="R581" s="45"/>
      <c r="S581" s="43"/>
      <c r="T581" s="43"/>
      <c r="U581" s="43"/>
      <c r="V581" s="43"/>
      <c r="W581" s="43"/>
      <c r="X581" s="43"/>
      <c r="Y581" s="43"/>
      <c r="Z581" s="43"/>
      <c r="AA581" s="43"/>
      <c r="AB581" s="43"/>
      <c r="AC581" s="43"/>
      <c r="AD581" s="43"/>
      <c r="AE581" s="48"/>
      <c r="AF581" s="48"/>
      <c r="AG581" s="48"/>
      <c r="AH581" s="50"/>
    </row>
    <row r="582" spans="1:34" ht="14.5">
      <c r="A582" s="40">
        <v>2016</v>
      </c>
      <c r="B582" s="41" t="s">
        <v>1110</v>
      </c>
      <c r="C582" s="41" t="s">
        <v>1111</v>
      </c>
      <c r="D582" s="41" t="s">
        <v>105</v>
      </c>
      <c r="E582" s="40">
        <v>11</v>
      </c>
      <c r="H582" s="43"/>
      <c r="I582" s="117" t="e">
        <f t="shared" si="47"/>
        <v>#DIV/0!</v>
      </c>
      <c r="J582" s="43"/>
      <c r="K582" s="44"/>
      <c r="L582" s="45"/>
      <c r="M582" s="43"/>
      <c r="N582" s="46"/>
      <c r="O582" s="46"/>
      <c r="P582" s="45"/>
      <c r="Q582" s="45"/>
      <c r="R582" s="45"/>
      <c r="S582" s="43"/>
      <c r="T582" s="43"/>
      <c r="U582" s="43"/>
      <c r="V582" s="43"/>
      <c r="W582" s="43"/>
      <c r="X582" s="43"/>
      <c r="Y582" s="43"/>
      <c r="Z582" s="43"/>
      <c r="AA582" s="43"/>
      <c r="AB582" s="43"/>
      <c r="AC582" s="43"/>
      <c r="AD582" s="43"/>
      <c r="AE582" s="48"/>
      <c r="AF582" s="48"/>
      <c r="AG582" s="48"/>
      <c r="AH582" s="50"/>
    </row>
    <row r="583" spans="1:34" ht="14.5">
      <c r="A583" s="40">
        <v>2017</v>
      </c>
      <c r="B583" s="41" t="s">
        <v>1110</v>
      </c>
      <c r="C583" s="41" t="s">
        <v>1111</v>
      </c>
      <c r="D583" s="41" t="s">
        <v>105</v>
      </c>
      <c r="E583" s="40">
        <v>11</v>
      </c>
      <c r="H583" s="43"/>
      <c r="I583" s="117" t="e">
        <f t="shared" si="47"/>
        <v>#DIV/0!</v>
      </c>
      <c r="J583" s="43"/>
      <c r="K583" s="44"/>
      <c r="L583" s="45"/>
      <c r="M583" s="43"/>
      <c r="N583" s="46"/>
      <c r="O583" s="46"/>
      <c r="P583" s="45"/>
      <c r="Q583" s="45"/>
      <c r="R583" s="45"/>
      <c r="S583" s="43"/>
      <c r="T583" s="43"/>
      <c r="U583" s="43"/>
      <c r="V583" s="43"/>
      <c r="W583" s="43"/>
      <c r="X583" s="43"/>
      <c r="Y583" s="43"/>
      <c r="Z583" s="43"/>
      <c r="AA583" s="43"/>
      <c r="AB583" s="43"/>
      <c r="AC583" s="43"/>
      <c r="AD583" s="43"/>
      <c r="AE583" s="48"/>
      <c r="AF583" s="48"/>
      <c r="AG583" s="48"/>
      <c r="AH583" s="50"/>
    </row>
    <row r="584" spans="1:34" ht="14.5">
      <c r="A584" s="40">
        <v>2004</v>
      </c>
      <c r="B584" s="41" t="s">
        <v>1114</v>
      </c>
      <c r="C584" s="41" t="s">
        <v>1115</v>
      </c>
      <c r="D584" s="41" t="s">
        <v>105</v>
      </c>
      <c r="E584" s="40">
        <v>14</v>
      </c>
      <c r="H584" s="43"/>
      <c r="I584" s="117" t="e">
        <f t="shared" si="47"/>
        <v>#DIV/0!</v>
      </c>
      <c r="J584" s="43"/>
      <c r="K584" s="44"/>
      <c r="L584" s="45"/>
      <c r="M584" s="43"/>
      <c r="N584" s="46"/>
      <c r="O584" s="46"/>
      <c r="P584" s="45"/>
      <c r="Q584" s="45"/>
      <c r="R584" s="45"/>
      <c r="S584" s="43"/>
      <c r="T584" s="43"/>
      <c r="U584" s="43"/>
      <c r="V584" s="43"/>
      <c r="W584" s="43"/>
      <c r="X584" s="43"/>
      <c r="Y584" s="43"/>
      <c r="Z584" s="43"/>
      <c r="AA584" s="43"/>
      <c r="AB584" s="43"/>
      <c r="AC584" s="43"/>
      <c r="AD584" s="43"/>
      <c r="AE584" s="48"/>
      <c r="AF584" s="48"/>
      <c r="AG584" s="48"/>
      <c r="AH584" s="50"/>
    </row>
    <row r="585" spans="1:34" ht="14.5">
      <c r="A585" s="40">
        <v>2005</v>
      </c>
      <c r="B585" s="41" t="s">
        <v>1114</v>
      </c>
      <c r="C585" s="41" t="s">
        <v>1115</v>
      </c>
      <c r="D585" s="41" t="s">
        <v>105</v>
      </c>
      <c r="E585" s="40">
        <v>14</v>
      </c>
      <c r="H585" s="43"/>
      <c r="I585" s="117" t="e">
        <f t="shared" si="47"/>
        <v>#DIV/0!</v>
      </c>
      <c r="J585" s="43"/>
      <c r="K585" s="44"/>
      <c r="L585" s="45"/>
      <c r="M585" s="43"/>
      <c r="N585" s="46"/>
      <c r="O585" s="46"/>
      <c r="P585" s="45"/>
      <c r="Q585" s="45"/>
      <c r="R585" s="45"/>
      <c r="S585" s="43"/>
      <c r="T585" s="43"/>
      <c r="U585" s="43"/>
      <c r="V585" s="43"/>
      <c r="W585" s="43"/>
      <c r="X585" s="43"/>
      <c r="Y585" s="43"/>
      <c r="Z585" s="43"/>
      <c r="AA585" s="43"/>
      <c r="AB585" s="43"/>
      <c r="AC585" s="43"/>
      <c r="AD585" s="43"/>
      <c r="AE585" s="48"/>
      <c r="AF585" s="48"/>
      <c r="AG585" s="48"/>
      <c r="AH585" s="50"/>
    </row>
    <row r="586" spans="1:34" ht="14.5">
      <c r="A586" s="40">
        <v>2006</v>
      </c>
      <c r="B586" s="41" t="s">
        <v>1114</v>
      </c>
      <c r="C586" s="41" t="s">
        <v>1115</v>
      </c>
      <c r="D586" s="41" t="s">
        <v>105</v>
      </c>
      <c r="E586" s="40">
        <v>14</v>
      </c>
      <c r="H586" s="43"/>
      <c r="I586" s="117" t="e">
        <f t="shared" si="47"/>
        <v>#DIV/0!</v>
      </c>
      <c r="J586" s="43"/>
      <c r="K586" s="44"/>
      <c r="L586" s="45"/>
      <c r="M586" s="43"/>
      <c r="N586" s="46"/>
      <c r="O586" s="46"/>
      <c r="P586" s="45"/>
      <c r="Q586" s="45"/>
      <c r="R586" s="45"/>
      <c r="S586" s="43"/>
      <c r="T586" s="43"/>
      <c r="U586" s="43"/>
      <c r="V586" s="43"/>
      <c r="W586" s="43"/>
      <c r="X586" s="43"/>
      <c r="Y586" s="43"/>
      <c r="Z586" s="43"/>
      <c r="AA586" s="43"/>
      <c r="AB586" s="43"/>
      <c r="AC586" s="43"/>
      <c r="AD586" s="43"/>
      <c r="AE586" s="48"/>
      <c r="AF586" s="48"/>
      <c r="AG586" s="48"/>
      <c r="AH586" s="50"/>
    </row>
    <row r="587" spans="1:34" ht="14.5">
      <c r="A587" s="40">
        <v>2007</v>
      </c>
      <c r="B587" s="41" t="s">
        <v>1114</v>
      </c>
      <c r="C587" s="41" t="s">
        <v>1115</v>
      </c>
      <c r="D587" s="41" t="s">
        <v>105</v>
      </c>
      <c r="E587" s="40">
        <v>14</v>
      </c>
      <c r="H587" s="43"/>
      <c r="I587" s="117" t="e">
        <f t="shared" si="47"/>
        <v>#DIV/0!</v>
      </c>
      <c r="J587" s="43"/>
      <c r="K587" s="44"/>
      <c r="L587" s="45"/>
      <c r="M587" s="43"/>
      <c r="N587" s="46"/>
      <c r="O587" s="46"/>
      <c r="P587" s="45"/>
      <c r="Q587" s="45"/>
      <c r="R587" s="45"/>
      <c r="S587" s="43"/>
      <c r="T587" s="43"/>
      <c r="U587" s="43"/>
      <c r="V587" s="43"/>
      <c r="W587" s="43"/>
      <c r="X587" s="43"/>
      <c r="Y587" s="43"/>
      <c r="Z587" s="43"/>
      <c r="AA587" s="43"/>
      <c r="AB587" s="43"/>
      <c r="AC587" s="43"/>
      <c r="AD587" s="43"/>
      <c r="AE587" s="48"/>
      <c r="AF587" s="48"/>
      <c r="AG587" s="48"/>
      <c r="AH587" s="50"/>
    </row>
    <row r="588" spans="1:34" ht="14.5">
      <c r="A588" s="40">
        <v>2008</v>
      </c>
      <c r="B588" s="41" t="s">
        <v>1114</v>
      </c>
      <c r="C588" s="41" t="s">
        <v>1115</v>
      </c>
      <c r="D588" s="41" t="s">
        <v>105</v>
      </c>
      <c r="E588" s="40">
        <v>14</v>
      </c>
      <c r="H588" s="43"/>
      <c r="I588" s="117" t="e">
        <f t="shared" si="47"/>
        <v>#DIV/0!</v>
      </c>
      <c r="J588" s="43"/>
      <c r="K588" s="44"/>
      <c r="L588" s="45"/>
      <c r="M588" s="43"/>
      <c r="N588" s="46"/>
      <c r="O588" s="46"/>
      <c r="P588" s="45"/>
      <c r="Q588" s="45"/>
      <c r="R588" s="45"/>
      <c r="S588" s="43"/>
      <c r="T588" s="43"/>
      <c r="U588" s="43"/>
      <c r="V588" s="43"/>
      <c r="W588" s="43"/>
      <c r="X588" s="43"/>
      <c r="Y588" s="43"/>
      <c r="Z588" s="43"/>
      <c r="AA588" s="43"/>
      <c r="AB588" s="43"/>
      <c r="AC588" s="43"/>
      <c r="AD588" s="43"/>
      <c r="AE588" s="48"/>
      <c r="AF588" s="48"/>
      <c r="AG588" s="48"/>
      <c r="AH588" s="50"/>
    </row>
    <row r="589" spans="1:34" ht="14.5">
      <c r="A589" s="40">
        <v>2009</v>
      </c>
      <c r="B589" s="41" t="s">
        <v>1114</v>
      </c>
      <c r="C589" s="41" t="s">
        <v>1115</v>
      </c>
      <c r="D589" s="41" t="s">
        <v>105</v>
      </c>
      <c r="E589" s="40">
        <v>14</v>
      </c>
      <c r="H589" s="43"/>
      <c r="I589" s="117" t="e">
        <f t="shared" si="47"/>
        <v>#DIV/0!</v>
      </c>
      <c r="J589" s="43"/>
      <c r="K589" s="44"/>
      <c r="L589" s="45"/>
      <c r="M589" s="43"/>
      <c r="N589" s="46"/>
      <c r="O589" s="46"/>
      <c r="P589" s="45"/>
      <c r="Q589" s="45"/>
      <c r="R589" s="45"/>
      <c r="S589" s="43"/>
      <c r="T589" s="43"/>
      <c r="U589" s="43"/>
      <c r="V589" s="43"/>
      <c r="W589" s="43"/>
      <c r="X589" s="43"/>
      <c r="Y589" s="43"/>
      <c r="Z589" s="43"/>
      <c r="AA589" s="43"/>
      <c r="AB589" s="43"/>
      <c r="AC589" s="43"/>
      <c r="AD589" s="43"/>
      <c r="AE589" s="48"/>
      <c r="AF589" s="48"/>
      <c r="AG589" s="48"/>
      <c r="AH589" s="50"/>
    </row>
    <row r="590" spans="1:34" ht="14.5">
      <c r="A590" s="40">
        <v>2010</v>
      </c>
      <c r="B590" s="41" t="s">
        <v>1114</v>
      </c>
      <c r="C590" s="41" t="s">
        <v>1115</v>
      </c>
      <c r="D590" s="41" t="s">
        <v>105</v>
      </c>
      <c r="E590" s="40">
        <v>14</v>
      </c>
      <c r="H590" s="43"/>
      <c r="I590" s="117" t="e">
        <f t="shared" si="47"/>
        <v>#DIV/0!</v>
      </c>
      <c r="J590" s="43"/>
      <c r="K590" s="44"/>
      <c r="L590" s="45"/>
      <c r="M590" s="43"/>
      <c r="N590" s="46"/>
      <c r="O590" s="46"/>
      <c r="P590" s="45"/>
      <c r="Q590" s="45"/>
      <c r="R590" s="45"/>
      <c r="S590" s="43"/>
      <c r="T590" s="43"/>
      <c r="U590" s="43"/>
      <c r="V590" s="43"/>
      <c r="W590" s="43"/>
      <c r="X590" s="43"/>
      <c r="Y590" s="43"/>
      <c r="Z590" s="43"/>
      <c r="AA590" s="43"/>
      <c r="AB590" s="43"/>
      <c r="AC590" s="43"/>
      <c r="AD590" s="43"/>
      <c r="AE590" s="48"/>
      <c r="AF590" s="48"/>
      <c r="AG590" s="48"/>
      <c r="AH590" s="50"/>
    </row>
    <row r="591" spans="1:34" ht="14.5">
      <c r="A591" s="40">
        <v>2011</v>
      </c>
      <c r="B591" s="41" t="s">
        <v>1114</v>
      </c>
      <c r="C591" s="41" t="s">
        <v>1115</v>
      </c>
      <c r="D591" s="41" t="s">
        <v>105</v>
      </c>
      <c r="E591" s="40">
        <v>14</v>
      </c>
      <c r="H591" s="43"/>
      <c r="I591" s="117" t="e">
        <f t="shared" si="47"/>
        <v>#DIV/0!</v>
      </c>
      <c r="J591" s="43"/>
      <c r="K591" s="44"/>
      <c r="L591" s="45"/>
      <c r="M591" s="43"/>
      <c r="N591" s="46"/>
      <c r="O591" s="46"/>
      <c r="P591" s="45"/>
      <c r="Q591" s="45"/>
      <c r="R591" s="45"/>
      <c r="S591" s="43"/>
      <c r="T591" s="43"/>
      <c r="U591" s="43"/>
      <c r="V591" s="43"/>
      <c r="W591" s="43"/>
      <c r="X591" s="43"/>
      <c r="Y591" s="43"/>
      <c r="Z591" s="43"/>
      <c r="AA591" s="43"/>
      <c r="AB591" s="43"/>
      <c r="AC591" s="43"/>
      <c r="AD591" s="43"/>
      <c r="AE591" s="48"/>
      <c r="AF591" s="48"/>
      <c r="AG591" s="48"/>
      <c r="AH591" s="50"/>
    </row>
    <row r="592" spans="1:34" ht="14.5">
      <c r="A592" s="40">
        <v>2012</v>
      </c>
      <c r="B592" s="41" t="s">
        <v>1114</v>
      </c>
      <c r="C592" s="41" t="s">
        <v>1115</v>
      </c>
      <c r="D592" s="41" t="s">
        <v>105</v>
      </c>
      <c r="E592" s="40">
        <v>14</v>
      </c>
      <c r="H592" s="43"/>
      <c r="I592" s="117" t="e">
        <f t="shared" si="47"/>
        <v>#DIV/0!</v>
      </c>
      <c r="J592" s="43"/>
      <c r="K592" s="44"/>
      <c r="L592" s="45"/>
      <c r="M592" s="43"/>
      <c r="N592" s="46"/>
      <c r="O592" s="46"/>
      <c r="P592" s="45"/>
      <c r="Q592" s="45"/>
      <c r="R592" s="45"/>
      <c r="S592" s="43"/>
      <c r="T592" s="43"/>
      <c r="U592" s="43"/>
      <c r="V592" s="43"/>
      <c r="W592" s="43"/>
      <c r="X592" s="43"/>
      <c r="Y592" s="43"/>
      <c r="Z592" s="43"/>
      <c r="AA592" s="43"/>
      <c r="AB592" s="43"/>
      <c r="AC592" s="43"/>
      <c r="AD592" s="43"/>
      <c r="AE592" s="48"/>
      <c r="AF592" s="48"/>
      <c r="AG592" s="48"/>
      <c r="AH592" s="50"/>
    </row>
    <row r="593" spans="1:34" ht="14.5">
      <c r="A593" s="40">
        <v>2013</v>
      </c>
      <c r="B593" s="41" t="s">
        <v>1114</v>
      </c>
      <c r="C593" s="41" t="s">
        <v>1115</v>
      </c>
      <c r="D593" s="41" t="s">
        <v>105</v>
      </c>
      <c r="E593" s="40">
        <v>14</v>
      </c>
      <c r="H593" s="43"/>
      <c r="I593" s="117" t="e">
        <f t="shared" si="47"/>
        <v>#DIV/0!</v>
      </c>
      <c r="J593" s="43"/>
      <c r="K593" s="44"/>
      <c r="L593" s="45"/>
      <c r="M593" s="43"/>
      <c r="N593" s="46"/>
      <c r="O593" s="46"/>
      <c r="P593" s="45"/>
      <c r="Q593" s="45"/>
      <c r="R593" s="45"/>
      <c r="S593" s="43"/>
      <c r="T593" s="43"/>
      <c r="U593" s="43"/>
      <c r="V593" s="43"/>
      <c r="W593" s="43"/>
      <c r="X593" s="43"/>
      <c r="Y593" s="43"/>
      <c r="Z593" s="43"/>
      <c r="AA593" s="43"/>
      <c r="AB593" s="43"/>
      <c r="AC593" s="43"/>
      <c r="AD593" s="43"/>
      <c r="AE593" s="48"/>
      <c r="AF593" s="48"/>
      <c r="AG593" s="48"/>
      <c r="AH593" s="50"/>
    </row>
    <row r="594" spans="1:34" ht="14.5">
      <c r="A594" s="40">
        <v>2014</v>
      </c>
      <c r="B594" s="41" t="s">
        <v>1114</v>
      </c>
      <c r="C594" s="41" t="s">
        <v>1115</v>
      </c>
      <c r="D594" s="41" t="s">
        <v>105</v>
      </c>
      <c r="E594" s="40">
        <v>14</v>
      </c>
      <c r="H594" s="43"/>
      <c r="I594" s="117" t="e">
        <f t="shared" si="47"/>
        <v>#DIV/0!</v>
      </c>
      <c r="J594" s="43"/>
      <c r="K594" s="44"/>
      <c r="L594" s="45"/>
      <c r="M594" s="43"/>
      <c r="N594" s="46"/>
      <c r="O594" s="46"/>
      <c r="P594" s="45"/>
      <c r="Q594" s="45"/>
      <c r="R594" s="45"/>
      <c r="S594" s="43"/>
      <c r="T594" s="43"/>
      <c r="U594" s="43"/>
      <c r="V594" s="43"/>
      <c r="W594" s="43"/>
      <c r="X594" s="43"/>
      <c r="Y594" s="43"/>
      <c r="Z594" s="43"/>
      <c r="AA594" s="43"/>
      <c r="AB594" s="43"/>
      <c r="AC594" s="43"/>
      <c r="AD594" s="43"/>
      <c r="AE594" s="48"/>
      <c r="AF594" s="48"/>
      <c r="AG594" s="48"/>
      <c r="AH594" s="50"/>
    </row>
    <row r="595" spans="1:34" ht="14.5">
      <c r="A595" s="40">
        <v>2015</v>
      </c>
      <c r="B595" s="41" t="s">
        <v>1114</v>
      </c>
      <c r="C595" s="41" t="s">
        <v>1115</v>
      </c>
      <c r="D595" s="41" t="s">
        <v>105</v>
      </c>
      <c r="E595" s="40">
        <v>14</v>
      </c>
      <c r="H595" s="43"/>
      <c r="I595" s="117" t="e">
        <f t="shared" si="47"/>
        <v>#DIV/0!</v>
      </c>
      <c r="J595" s="43"/>
      <c r="K595" s="44"/>
      <c r="L595" s="45"/>
      <c r="M595" s="43"/>
      <c r="N595" s="46"/>
      <c r="O595" s="46"/>
      <c r="P595" s="45"/>
      <c r="Q595" s="45"/>
      <c r="R595" s="45"/>
      <c r="S595" s="43"/>
      <c r="T595" s="43"/>
      <c r="U595" s="43"/>
      <c r="V595" s="43"/>
      <c r="W595" s="43"/>
      <c r="X595" s="43"/>
      <c r="Y595" s="43"/>
      <c r="Z595" s="43"/>
      <c r="AA595" s="43"/>
      <c r="AB595" s="43"/>
      <c r="AC595" s="43"/>
      <c r="AD595" s="43"/>
      <c r="AE595" s="48"/>
      <c r="AF595" s="48"/>
      <c r="AG595" s="48"/>
      <c r="AH595" s="50"/>
    </row>
    <row r="596" spans="1:34" ht="14.5">
      <c r="A596" s="40">
        <v>2016</v>
      </c>
      <c r="B596" s="41" t="s">
        <v>1114</v>
      </c>
      <c r="C596" s="41" t="s">
        <v>1115</v>
      </c>
      <c r="D596" s="41" t="s">
        <v>105</v>
      </c>
      <c r="E596" s="40">
        <v>14</v>
      </c>
      <c r="H596" s="43"/>
      <c r="I596" s="117" t="e">
        <f t="shared" si="47"/>
        <v>#DIV/0!</v>
      </c>
      <c r="J596" s="43"/>
      <c r="K596" s="44"/>
      <c r="L596" s="45"/>
      <c r="M596" s="43"/>
      <c r="N596" s="46"/>
      <c r="O596" s="46"/>
      <c r="P596" s="45"/>
      <c r="Q596" s="45"/>
      <c r="R596" s="45"/>
      <c r="S596" s="43"/>
      <c r="T596" s="43"/>
      <c r="U596" s="43"/>
      <c r="V596" s="43"/>
      <c r="W596" s="43"/>
      <c r="X596" s="43"/>
      <c r="Y596" s="43"/>
      <c r="Z596" s="43"/>
      <c r="AA596" s="43"/>
      <c r="AB596" s="43"/>
      <c r="AC596" s="43"/>
      <c r="AD596" s="43"/>
      <c r="AE596" s="48"/>
      <c r="AF596" s="48"/>
      <c r="AG596" s="48"/>
      <c r="AH596" s="50"/>
    </row>
    <row r="597" spans="1:34" ht="14.5">
      <c r="A597" s="40">
        <v>2017</v>
      </c>
      <c r="B597" s="41" t="s">
        <v>1114</v>
      </c>
      <c r="C597" s="41" t="s">
        <v>1115</v>
      </c>
      <c r="D597" s="41" t="s">
        <v>105</v>
      </c>
      <c r="E597" s="40">
        <v>14</v>
      </c>
      <c r="H597" s="43"/>
      <c r="I597" s="117" t="e">
        <f t="shared" si="47"/>
        <v>#DIV/0!</v>
      </c>
      <c r="J597" s="43"/>
      <c r="K597" s="44"/>
      <c r="L597" s="45"/>
      <c r="M597" s="43"/>
      <c r="N597" s="46"/>
      <c r="O597" s="46"/>
      <c r="P597" s="45"/>
      <c r="Q597" s="45"/>
      <c r="R597" s="45"/>
      <c r="S597" s="43"/>
      <c r="T597" s="43"/>
      <c r="U597" s="43"/>
      <c r="V597" s="43"/>
      <c r="W597" s="43"/>
      <c r="X597" s="43"/>
      <c r="Y597" s="43"/>
      <c r="Z597" s="43"/>
      <c r="AA597" s="43"/>
      <c r="AB597" s="43"/>
      <c r="AC597" s="43"/>
      <c r="AD597" s="43"/>
      <c r="AE597" s="48"/>
      <c r="AF597" s="48"/>
      <c r="AG597" s="48"/>
      <c r="AH597" s="50"/>
    </row>
    <row r="598" spans="1:34" ht="12.5">
      <c r="H598" s="43"/>
      <c r="I598" s="43"/>
      <c r="J598" s="43"/>
      <c r="K598" s="44"/>
      <c r="L598" s="45"/>
      <c r="M598" s="43"/>
      <c r="N598" s="46"/>
      <c r="O598" s="46"/>
      <c r="P598" s="45"/>
      <c r="Q598" s="45"/>
      <c r="R598" s="45"/>
      <c r="S598" s="43"/>
      <c r="T598" s="43"/>
      <c r="U598" s="43"/>
      <c r="V598" s="43"/>
      <c r="W598" s="43"/>
      <c r="X598" s="43"/>
      <c r="Y598" s="43"/>
      <c r="Z598" s="43"/>
      <c r="AA598" s="43"/>
      <c r="AB598" s="43"/>
      <c r="AC598" s="43"/>
      <c r="AD598" s="43"/>
      <c r="AE598" s="48"/>
      <c r="AF598" s="48"/>
      <c r="AG598" s="48"/>
      <c r="AH598" s="50"/>
    </row>
    <row r="599" spans="1:34" ht="12.5">
      <c r="H599" s="43"/>
      <c r="I599" s="43"/>
      <c r="J599" s="43"/>
      <c r="K599" s="44"/>
      <c r="L599" s="45"/>
      <c r="M599" s="43"/>
      <c r="N599" s="46"/>
      <c r="O599" s="46"/>
      <c r="P599" s="45"/>
      <c r="Q599" s="45"/>
      <c r="R599" s="45"/>
      <c r="S599" s="43"/>
      <c r="T599" s="43"/>
      <c r="U599" s="43"/>
      <c r="V599" s="43"/>
      <c r="W599" s="43"/>
      <c r="X599" s="43"/>
      <c r="Y599" s="43"/>
      <c r="Z599" s="43"/>
      <c r="AA599" s="43"/>
      <c r="AB599" s="43"/>
      <c r="AC599" s="43"/>
      <c r="AD599" s="43"/>
      <c r="AE599" s="48"/>
      <c r="AF599" s="48"/>
      <c r="AG599" s="48"/>
      <c r="AH599" s="50"/>
    </row>
    <row r="600" spans="1:34" ht="12.5">
      <c r="H600" s="43"/>
      <c r="I600" s="43"/>
      <c r="J600" s="43"/>
      <c r="K600" s="44"/>
      <c r="L600" s="45"/>
      <c r="M600" s="43"/>
      <c r="N600" s="46"/>
      <c r="O600" s="46"/>
      <c r="P600" s="45"/>
      <c r="Q600" s="45"/>
      <c r="R600" s="45"/>
      <c r="S600" s="43"/>
      <c r="T600" s="43"/>
      <c r="U600" s="43"/>
      <c r="V600" s="43"/>
      <c r="W600" s="43"/>
      <c r="X600" s="43"/>
      <c r="Y600" s="43"/>
      <c r="Z600" s="43"/>
      <c r="AA600" s="43"/>
      <c r="AB600" s="43"/>
      <c r="AC600" s="43"/>
      <c r="AD600" s="43"/>
      <c r="AE600" s="48"/>
      <c r="AF600" s="48"/>
      <c r="AG600" s="48"/>
      <c r="AH600" s="50"/>
    </row>
    <row r="601" spans="1:34" ht="12.5">
      <c r="H601" s="43"/>
      <c r="I601" s="43"/>
      <c r="J601" s="43"/>
      <c r="K601" s="44"/>
      <c r="L601" s="45"/>
      <c r="M601" s="43"/>
      <c r="N601" s="46"/>
      <c r="O601" s="46"/>
      <c r="P601" s="45"/>
      <c r="Q601" s="45"/>
      <c r="R601" s="45"/>
      <c r="S601" s="43"/>
      <c r="T601" s="43"/>
      <c r="U601" s="43"/>
      <c r="V601" s="43"/>
      <c r="W601" s="43"/>
      <c r="X601" s="43"/>
      <c r="Y601" s="43"/>
      <c r="Z601" s="43"/>
      <c r="AA601" s="43"/>
      <c r="AB601" s="43"/>
      <c r="AC601" s="43"/>
      <c r="AD601" s="43"/>
      <c r="AE601" s="48"/>
      <c r="AF601" s="48"/>
      <c r="AG601" s="48"/>
      <c r="AH601" s="50"/>
    </row>
    <row r="602" spans="1:34" ht="12.5">
      <c r="H602" s="43"/>
      <c r="I602" s="43"/>
      <c r="J602" s="43"/>
      <c r="K602" s="44"/>
      <c r="L602" s="45"/>
      <c r="M602" s="43"/>
      <c r="N602" s="46"/>
      <c r="O602" s="46"/>
      <c r="P602" s="45"/>
      <c r="Q602" s="45"/>
      <c r="R602" s="45"/>
      <c r="S602" s="43"/>
      <c r="T602" s="43"/>
      <c r="U602" s="43"/>
      <c r="V602" s="43"/>
      <c r="W602" s="43"/>
      <c r="X602" s="43"/>
      <c r="Y602" s="43"/>
      <c r="Z602" s="43"/>
      <c r="AA602" s="43"/>
      <c r="AB602" s="43"/>
      <c r="AC602" s="43"/>
      <c r="AD602" s="43"/>
      <c r="AE602" s="48"/>
      <c r="AF602" s="48"/>
      <c r="AG602" s="48"/>
      <c r="AH602" s="50"/>
    </row>
    <row r="603" spans="1:34" ht="12.5">
      <c r="H603" s="43"/>
      <c r="I603" s="43"/>
      <c r="J603" s="43"/>
      <c r="K603" s="44"/>
      <c r="L603" s="45"/>
      <c r="M603" s="43"/>
      <c r="N603" s="46"/>
      <c r="O603" s="46"/>
      <c r="P603" s="45"/>
      <c r="Q603" s="45"/>
      <c r="R603" s="45"/>
      <c r="S603" s="43"/>
      <c r="T603" s="43"/>
      <c r="U603" s="43"/>
      <c r="V603" s="43"/>
      <c r="W603" s="43"/>
      <c r="X603" s="43"/>
      <c r="Y603" s="43"/>
      <c r="Z603" s="43"/>
      <c r="AA603" s="43"/>
      <c r="AB603" s="43"/>
      <c r="AC603" s="43"/>
      <c r="AD603" s="43"/>
      <c r="AE603" s="48"/>
      <c r="AF603" s="48"/>
      <c r="AG603" s="48"/>
      <c r="AH603" s="50"/>
    </row>
    <row r="604" spans="1:34" ht="12.5">
      <c r="H604" s="43"/>
      <c r="I604" s="43"/>
      <c r="J604" s="43"/>
      <c r="K604" s="44"/>
      <c r="L604" s="45"/>
      <c r="M604" s="43"/>
      <c r="N604" s="46"/>
      <c r="O604" s="46"/>
      <c r="P604" s="45"/>
      <c r="Q604" s="45"/>
      <c r="R604" s="45"/>
      <c r="S604" s="43"/>
      <c r="T604" s="43"/>
      <c r="U604" s="43"/>
      <c r="V604" s="43"/>
      <c r="W604" s="43"/>
      <c r="X604" s="43"/>
      <c r="Y604" s="43"/>
      <c r="Z604" s="43"/>
      <c r="AA604" s="43"/>
      <c r="AB604" s="43"/>
      <c r="AC604" s="43"/>
      <c r="AD604" s="43"/>
      <c r="AE604" s="48"/>
      <c r="AF604" s="48"/>
      <c r="AG604" s="48"/>
      <c r="AH604" s="50"/>
    </row>
    <row r="605" spans="1:34" ht="12.5">
      <c r="H605" s="43"/>
      <c r="I605" s="43"/>
      <c r="J605" s="43"/>
      <c r="K605" s="44"/>
      <c r="L605" s="45"/>
      <c r="M605" s="43"/>
      <c r="N605" s="46"/>
      <c r="O605" s="46"/>
      <c r="P605" s="45"/>
      <c r="Q605" s="45"/>
      <c r="R605" s="45"/>
      <c r="S605" s="43"/>
      <c r="T605" s="43"/>
      <c r="U605" s="43"/>
      <c r="V605" s="43"/>
      <c r="W605" s="43"/>
      <c r="X605" s="43"/>
      <c r="Y605" s="43"/>
      <c r="Z605" s="43"/>
      <c r="AA605" s="43"/>
      <c r="AB605" s="43"/>
      <c r="AC605" s="43"/>
      <c r="AD605" s="43"/>
      <c r="AE605" s="48"/>
      <c r="AF605" s="48"/>
      <c r="AG605" s="48"/>
      <c r="AH605" s="50"/>
    </row>
    <row r="606" spans="1:34" ht="12.5">
      <c r="H606" s="43"/>
      <c r="I606" s="43"/>
      <c r="J606" s="43"/>
      <c r="K606" s="44"/>
      <c r="L606" s="45"/>
      <c r="M606" s="43"/>
      <c r="N606" s="46"/>
      <c r="O606" s="46"/>
      <c r="P606" s="45"/>
      <c r="Q606" s="45"/>
      <c r="R606" s="45"/>
      <c r="S606" s="43"/>
      <c r="T606" s="43"/>
      <c r="U606" s="43"/>
      <c r="V606" s="43"/>
      <c r="W606" s="43"/>
      <c r="X606" s="43"/>
      <c r="Y606" s="43"/>
      <c r="Z606" s="43"/>
      <c r="AA606" s="43"/>
      <c r="AB606" s="43"/>
      <c r="AC606" s="43"/>
      <c r="AD606" s="43"/>
      <c r="AE606" s="48"/>
      <c r="AF606" s="48"/>
      <c r="AG606" s="48"/>
      <c r="AH606" s="50"/>
    </row>
    <row r="607" spans="1:34" ht="12.5">
      <c r="H607" s="43"/>
      <c r="I607" s="43"/>
      <c r="J607" s="43"/>
      <c r="K607" s="44"/>
      <c r="L607" s="45"/>
      <c r="M607" s="43"/>
      <c r="N607" s="46"/>
      <c r="O607" s="46"/>
      <c r="P607" s="45"/>
      <c r="Q607" s="45"/>
      <c r="R607" s="45"/>
      <c r="S607" s="43"/>
      <c r="T607" s="43"/>
      <c r="U607" s="43"/>
      <c r="V607" s="43"/>
      <c r="W607" s="43"/>
      <c r="X607" s="43"/>
      <c r="Y607" s="43"/>
      <c r="Z607" s="43"/>
      <c r="AA607" s="43"/>
      <c r="AB607" s="43"/>
      <c r="AC607" s="43"/>
      <c r="AD607" s="43"/>
      <c r="AE607" s="48"/>
      <c r="AF607" s="48"/>
      <c r="AG607" s="48"/>
      <c r="AH607" s="50"/>
    </row>
    <row r="608" spans="1:34" ht="12.5">
      <c r="H608" s="43"/>
      <c r="I608" s="43"/>
      <c r="J608" s="43"/>
      <c r="K608" s="44"/>
      <c r="L608" s="45"/>
      <c r="M608" s="43"/>
      <c r="N608" s="46"/>
      <c r="O608" s="46"/>
      <c r="P608" s="45"/>
      <c r="Q608" s="45"/>
      <c r="R608" s="45"/>
      <c r="S608" s="43"/>
      <c r="T608" s="43"/>
      <c r="U608" s="43"/>
      <c r="V608" s="43"/>
      <c r="W608" s="43"/>
      <c r="X608" s="43"/>
      <c r="Y608" s="43"/>
      <c r="Z608" s="43"/>
      <c r="AA608" s="43"/>
      <c r="AB608" s="43"/>
      <c r="AC608" s="43"/>
      <c r="AD608" s="43"/>
      <c r="AE608" s="48"/>
      <c r="AF608" s="48"/>
      <c r="AG608" s="48"/>
      <c r="AH608" s="50"/>
    </row>
    <row r="609" spans="8:34" ht="12.5">
      <c r="H609" s="43"/>
      <c r="I609" s="43"/>
      <c r="J609" s="43"/>
      <c r="K609" s="44"/>
      <c r="L609" s="45"/>
      <c r="M609" s="43"/>
      <c r="N609" s="46"/>
      <c r="O609" s="46"/>
      <c r="P609" s="45"/>
      <c r="Q609" s="45"/>
      <c r="R609" s="45"/>
      <c r="S609" s="43"/>
      <c r="T609" s="43"/>
      <c r="U609" s="43"/>
      <c r="V609" s="43"/>
      <c r="W609" s="43"/>
      <c r="X609" s="43"/>
      <c r="Y609" s="43"/>
      <c r="Z609" s="43"/>
      <c r="AA609" s="43"/>
      <c r="AB609" s="43"/>
      <c r="AC609" s="43"/>
      <c r="AD609" s="43"/>
      <c r="AE609" s="48"/>
      <c r="AF609" s="48"/>
      <c r="AG609" s="48"/>
      <c r="AH609" s="50"/>
    </row>
    <row r="610" spans="8:34" ht="12.5">
      <c r="H610" s="43"/>
      <c r="I610" s="43"/>
      <c r="J610" s="43"/>
      <c r="K610" s="44"/>
      <c r="L610" s="45"/>
      <c r="M610" s="43"/>
      <c r="N610" s="46"/>
      <c r="O610" s="46"/>
      <c r="P610" s="45"/>
      <c r="Q610" s="45"/>
      <c r="R610" s="45"/>
      <c r="S610" s="43"/>
      <c r="T610" s="43"/>
      <c r="U610" s="43"/>
      <c r="V610" s="43"/>
      <c r="W610" s="43"/>
      <c r="X610" s="43"/>
      <c r="Y610" s="43"/>
      <c r="Z610" s="43"/>
      <c r="AA610" s="43"/>
      <c r="AB610" s="43"/>
      <c r="AC610" s="43"/>
      <c r="AD610" s="43"/>
      <c r="AE610" s="48"/>
      <c r="AF610" s="48"/>
      <c r="AG610" s="48"/>
      <c r="AH610" s="50"/>
    </row>
    <row r="611" spans="8:34" ht="12.5">
      <c r="H611" s="43"/>
      <c r="I611" s="43"/>
      <c r="J611" s="43"/>
      <c r="K611" s="44"/>
      <c r="L611" s="45"/>
      <c r="M611" s="43"/>
      <c r="N611" s="46"/>
      <c r="O611" s="46"/>
      <c r="P611" s="45"/>
      <c r="Q611" s="45"/>
      <c r="R611" s="45"/>
      <c r="S611" s="43"/>
      <c r="T611" s="43"/>
      <c r="U611" s="43"/>
      <c r="V611" s="43"/>
      <c r="W611" s="43"/>
      <c r="X611" s="43"/>
      <c r="Y611" s="43"/>
      <c r="Z611" s="43"/>
      <c r="AA611" s="43"/>
      <c r="AB611" s="43"/>
      <c r="AC611" s="43"/>
      <c r="AD611" s="43"/>
      <c r="AE611" s="48"/>
      <c r="AF611" s="48"/>
      <c r="AG611" s="48"/>
      <c r="AH611" s="50"/>
    </row>
    <row r="612" spans="8:34" ht="12.5">
      <c r="H612" s="43"/>
      <c r="I612" s="43"/>
      <c r="J612" s="43"/>
      <c r="K612" s="44"/>
      <c r="L612" s="45"/>
      <c r="M612" s="43"/>
      <c r="N612" s="46"/>
      <c r="O612" s="46"/>
      <c r="P612" s="45"/>
      <c r="Q612" s="45"/>
      <c r="R612" s="45"/>
      <c r="S612" s="43"/>
      <c r="T612" s="43"/>
      <c r="U612" s="43"/>
      <c r="V612" s="43"/>
      <c r="W612" s="43"/>
      <c r="X612" s="43"/>
      <c r="Y612" s="43"/>
      <c r="Z612" s="43"/>
      <c r="AA612" s="43"/>
      <c r="AB612" s="43"/>
      <c r="AC612" s="43"/>
      <c r="AD612" s="43"/>
      <c r="AE612" s="48"/>
      <c r="AF612" s="48"/>
      <c r="AG612" s="48"/>
      <c r="AH612" s="50"/>
    </row>
    <row r="613" spans="8:34" ht="12.5">
      <c r="H613" s="43"/>
      <c r="I613" s="43"/>
      <c r="J613" s="43"/>
      <c r="K613" s="44"/>
      <c r="L613" s="45"/>
      <c r="M613" s="43"/>
      <c r="N613" s="46"/>
      <c r="O613" s="46"/>
      <c r="P613" s="45"/>
      <c r="Q613" s="45"/>
      <c r="R613" s="45"/>
      <c r="S613" s="43"/>
      <c r="T613" s="43"/>
      <c r="U613" s="43"/>
      <c r="V613" s="43"/>
      <c r="W613" s="43"/>
      <c r="X613" s="43"/>
      <c r="Y613" s="43"/>
      <c r="Z613" s="43"/>
      <c r="AA613" s="43"/>
      <c r="AB613" s="43"/>
      <c r="AC613" s="43"/>
      <c r="AD613" s="43"/>
      <c r="AE613" s="48"/>
      <c r="AF613" s="48"/>
      <c r="AG613" s="48"/>
      <c r="AH613" s="50"/>
    </row>
    <row r="614" spans="8:34" ht="12.5">
      <c r="H614" s="43"/>
      <c r="I614" s="43"/>
      <c r="J614" s="43"/>
      <c r="K614" s="44"/>
      <c r="L614" s="45"/>
      <c r="M614" s="43"/>
      <c r="N614" s="46"/>
      <c r="O614" s="46"/>
      <c r="P614" s="45"/>
      <c r="Q614" s="45"/>
      <c r="R614" s="45"/>
      <c r="S614" s="43"/>
      <c r="T614" s="43"/>
      <c r="U614" s="43"/>
      <c r="V614" s="43"/>
      <c r="W614" s="43"/>
      <c r="X614" s="43"/>
      <c r="Y614" s="43"/>
      <c r="Z614" s="43"/>
      <c r="AA614" s="43"/>
      <c r="AB614" s="43"/>
      <c r="AC614" s="43"/>
      <c r="AD614" s="43"/>
      <c r="AE614" s="48"/>
      <c r="AF614" s="48"/>
      <c r="AG614" s="48"/>
      <c r="AH614" s="50"/>
    </row>
    <row r="615" spans="8:34" ht="12.5">
      <c r="H615" s="43"/>
      <c r="I615" s="43"/>
      <c r="J615" s="43"/>
      <c r="K615" s="44"/>
      <c r="L615" s="45"/>
      <c r="M615" s="43"/>
      <c r="N615" s="46"/>
      <c r="O615" s="46"/>
      <c r="P615" s="45"/>
      <c r="Q615" s="45"/>
      <c r="R615" s="45"/>
      <c r="S615" s="43"/>
      <c r="T615" s="43"/>
      <c r="U615" s="43"/>
      <c r="V615" s="43"/>
      <c r="W615" s="43"/>
      <c r="X615" s="43"/>
      <c r="Y615" s="43"/>
      <c r="Z615" s="43"/>
      <c r="AA615" s="43"/>
      <c r="AB615" s="43"/>
      <c r="AC615" s="43"/>
      <c r="AD615" s="43"/>
      <c r="AE615" s="48"/>
      <c r="AF615" s="48"/>
      <c r="AG615" s="48"/>
      <c r="AH615" s="50"/>
    </row>
    <row r="616" spans="8:34" ht="12.5">
      <c r="H616" s="43"/>
      <c r="I616" s="43"/>
      <c r="J616" s="43"/>
      <c r="K616" s="44"/>
      <c r="L616" s="45"/>
      <c r="M616" s="43"/>
      <c r="N616" s="46"/>
      <c r="O616" s="46"/>
      <c r="P616" s="45"/>
      <c r="Q616" s="45"/>
      <c r="R616" s="45"/>
      <c r="S616" s="43"/>
      <c r="T616" s="43"/>
      <c r="U616" s="43"/>
      <c r="V616" s="43"/>
      <c r="W616" s="43"/>
      <c r="X616" s="43"/>
      <c r="Y616" s="43"/>
      <c r="Z616" s="43"/>
      <c r="AA616" s="43"/>
      <c r="AB616" s="43"/>
      <c r="AC616" s="43"/>
      <c r="AD616" s="43"/>
      <c r="AE616" s="48"/>
      <c r="AF616" s="48"/>
      <c r="AG616" s="48"/>
      <c r="AH616" s="50"/>
    </row>
    <row r="617" spans="8:34" ht="12.5">
      <c r="H617" s="43"/>
      <c r="I617" s="43"/>
      <c r="J617" s="43"/>
      <c r="K617" s="44"/>
      <c r="L617" s="45"/>
      <c r="M617" s="43"/>
      <c r="N617" s="46"/>
      <c r="O617" s="46"/>
      <c r="P617" s="45"/>
      <c r="Q617" s="45"/>
      <c r="R617" s="45"/>
      <c r="S617" s="43"/>
      <c r="T617" s="43"/>
      <c r="U617" s="43"/>
      <c r="V617" s="43"/>
      <c r="W617" s="43"/>
      <c r="X617" s="43"/>
      <c r="Y617" s="43"/>
      <c r="Z617" s="43"/>
      <c r="AA617" s="43"/>
      <c r="AB617" s="43"/>
      <c r="AC617" s="43"/>
      <c r="AD617" s="43"/>
      <c r="AE617" s="48"/>
      <c r="AF617" s="48"/>
      <c r="AG617" s="48"/>
      <c r="AH617" s="50"/>
    </row>
    <row r="618" spans="8:34" ht="12.5">
      <c r="H618" s="43"/>
      <c r="I618" s="43"/>
      <c r="J618" s="43"/>
      <c r="K618" s="44"/>
      <c r="L618" s="45"/>
      <c r="M618" s="43"/>
      <c r="N618" s="46"/>
      <c r="O618" s="46"/>
      <c r="P618" s="45"/>
      <c r="Q618" s="45"/>
      <c r="R618" s="45"/>
      <c r="S618" s="43"/>
      <c r="T618" s="43"/>
      <c r="U618" s="43"/>
      <c r="V618" s="43"/>
      <c r="W618" s="43"/>
      <c r="X618" s="43"/>
      <c r="Y618" s="43"/>
      <c r="Z618" s="43"/>
      <c r="AA618" s="43"/>
      <c r="AB618" s="43"/>
      <c r="AC618" s="43"/>
      <c r="AD618" s="43"/>
      <c r="AE618" s="48"/>
      <c r="AF618" s="48"/>
      <c r="AG618" s="48"/>
      <c r="AH618" s="50"/>
    </row>
    <row r="619" spans="8:34" ht="12.5">
      <c r="H619" s="43"/>
      <c r="I619" s="43"/>
      <c r="J619" s="43"/>
      <c r="K619" s="44"/>
      <c r="L619" s="45"/>
      <c r="M619" s="43"/>
      <c r="N619" s="46"/>
      <c r="O619" s="46"/>
      <c r="P619" s="45"/>
      <c r="Q619" s="45"/>
      <c r="R619" s="45"/>
      <c r="S619" s="43"/>
      <c r="T619" s="43"/>
      <c r="U619" s="43"/>
      <c r="V619" s="43"/>
      <c r="W619" s="43"/>
      <c r="X619" s="43"/>
      <c r="Y619" s="43"/>
      <c r="Z619" s="43"/>
      <c r="AA619" s="43"/>
      <c r="AB619" s="43"/>
      <c r="AC619" s="43"/>
      <c r="AD619" s="43"/>
      <c r="AE619" s="48"/>
      <c r="AF619" s="48"/>
      <c r="AG619" s="48"/>
      <c r="AH619" s="50"/>
    </row>
    <row r="620" spans="8:34" ht="12.5">
      <c r="H620" s="43"/>
      <c r="I620" s="43"/>
      <c r="J620" s="43"/>
      <c r="K620" s="44"/>
      <c r="L620" s="45"/>
      <c r="M620" s="43"/>
      <c r="N620" s="46"/>
      <c r="O620" s="46"/>
      <c r="P620" s="45"/>
      <c r="Q620" s="45"/>
      <c r="R620" s="45"/>
      <c r="S620" s="43"/>
      <c r="T620" s="43"/>
      <c r="U620" s="43"/>
      <c r="V620" s="43"/>
      <c r="W620" s="43"/>
      <c r="X620" s="43"/>
      <c r="Y620" s="43"/>
      <c r="Z620" s="43"/>
      <c r="AA620" s="43"/>
      <c r="AB620" s="43"/>
      <c r="AC620" s="43"/>
      <c r="AD620" s="43"/>
      <c r="AE620" s="48"/>
      <c r="AF620" s="48"/>
      <c r="AG620" s="48"/>
      <c r="AH620" s="50"/>
    </row>
    <row r="621" spans="8:34" ht="12.5">
      <c r="H621" s="43"/>
      <c r="I621" s="43"/>
      <c r="J621" s="43"/>
      <c r="K621" s="44"/>
      <c r="L621" s="45"/>
      <c r="M621" s="43"/>
      <c r="N621" s="46"/>
      <c r="O621" s="46"/>
      <c r="P621" s="45"/>
      <c r="Q621" s="45"/>
      <c r="R621" s="45"/>
      <c r="S621" s="43"/>
      <c r="T621" s="43"/>
      <c r="U621" s="43"/>
      <c r="V621" s="43"/>
      <c r="W621" s="43"/>
      <c r="X621" s="43"/>
      <c r="Y621" s="43"/>
      <c r="Z621" s="43"/>
      <c r="AA621" s="43"/>
      <c r="AB621" s="43"/>
      <c r="AC621" s="43"/>
      <c r="AD621" s="43"/>
      <c r="AE621" s="48"/>
      <c r="AF621" s="48"/>
      <c r="AG621" s="48"/>
      <c r="AH621" s="50"/>
    </row>
    <row r="622" spans="8:34" ht="12.5">
      <c r="H622" s="43"/>
      <c r="I622" s="43"/>
      <c r="J622" s="43"/>
      <c r="K622" s="44"/>
      <c r="L622" s="45"/>
      <c r="M622" s="43"/>
      <c r="N622" s="46"/>
      <c r="O622" s="46"/>
      <c r="P622" s="45"/>
      <c r="Q622" s="45"/>
      <c r="R622" s="45"/>
      <c r="S622" s="43"/>
      <c r="T622" s="43"/>
      <c r="U622" s="43"/>
      <c r="V622" s="43"/>
      <c r="W622" s="43"/>
      <c r="X622" s="43"/>
      <c r="Y622" s="43"/>
      <c r="Z622" s="43"/>
      <c r="AA622" s="43"/>
      <c r="AB622" s="43"/>
      <c r="AC622" s="43"/>
      <c r="AD622" s="43"/>
      <c r="AE622" s="48"/>
      <c r="AF622" s="48"/>
      <c r="AG622" s="48"/>
      <c r="AH622" s="50"/>
    </row>
    <row r="623" spans="8:34" ht="12.5">
      <c r="H623" s="43"/>
      <c r="I623" s="43"/>
      <c r="J623" s="43"/>
      <c r="K623" s="44"/>
      <c r="L623" s="45"/>
      <c r="M623" s="43"/>
      <c r="N623" s="46"/>
      <c r="O623" s="46"/>
      <c r="P623" s="45"/>
      <c r="Q623" s="45"/>
      <c r="R623" s="45"/>
      <c r="S623" s="43"/>
      <c r="T623" s="43"/>
      <c r="U623" s="43"/>
      <c r="V623" s="43"/>
      <c r="W623" s="43"/>
      <c r="X623" s="43"/>
      <c r="Y623" s="43"/>
      <c r="Z623" s="43"/>
      <c r="AA623" s="43"/>
      <c r="AB623" s="43"/>
      <c r="AC623" s="43"/>
      <c r="AD623" s="43"/>
      <c r="AE623" s="48"/>
      <c r="AF623" s="48"/>
      <c r="AG623" s="48"/>
      <c r="AH623" s="50"/>
    </row>
    <row r="624" spans="8:34" ht="12.5">
      <c r="H624" s="43"/>
      <c r="I624" s="43"/>
      <c r="J624" s="43"/>
      <c r="K624" s="44"/>
      <c r="L624" s="45"/>
      <c r="M624" s="43"/>
      <c r="N624" s="46"/>
      <c r="O624" s="46"/>
      <c r="P624" s="45"/>
      <c r="Q624" s="45"/>
      <c r="R624" s="45"/>
      <c r="S624" s="43"/>
      <c r="T624" s="43"/>
      <c r="U624" s="43"/>
      <c r="V624" s="43"/>
      <c r="W624" s="43"/>
      <c r="X624" s="43"/>
      <c r="Y624" s="43"/>
      <c r="Z624" s="43"/>
      <c r="AA624" s="43"/>
      <c r="AB624" s="43"/>
      <c r="AC624" s="43"/>
      <c r="AD624" s="43"/>
      <c r="AE624" s="48"/>
      <c r="AF624" s="48"/>
      <c r="AG624" s="48"/>
      <c r="AH624" s="50"/>
    </row>
    <row r="625" spans="8:34" ht="12.5">
      <c r="H625" s="43"/>
      <c r="I625" s="43"/>
      <c r="J625" s="43"/>
      <c r="K625" s="44"/>
      <c r="L625" s="45"/>
      <c r="M625" s="43"/>
      <c r="N625" s="46"/>
      <c r="O625" s="46"/>
      <c r="P625" s="45"/>
      <c r="Q625" s="45"/>
      <c r="R625" s="45"/>
      <c r="S625" s="43"/>
      <c r="T625" s="43"/>
      <c r="U625" s="43"/>
      <c r="V625" s="43"/>
      <c r="W625" s="43"/>
      <c r="X625" s="43"/>
      <c r="Y625" s="43"/>
      <c r="Z625" s="43"/>
      <c r="AA625" s="43"/>
      <c r="AB625" s="43"/>
      <c r="AC625" s="43"/>
      <c r="AD625" s="43"/>
      <c r="AE625" s="48"/>
      <c r="AF625" s="48"/>
      <c r="AG625" s="48"/>
      <c r="AH625" s="50"/>
    </row>
    <row r="626" spans="8:34" ht="12.5">
      <c r="H626" s="43"/>
      <c r="I626" s="43"/>
      <c r="J626" s="43"/>
      <c r="K626" s="44"/>
      <c r="L626" s="45"/>
      <c r="M626" s="43"/>
      <c r="N626" s="46"/>
      <c r="O626" s="46"/>
      <c r="P626" s="45"/>
      <c r="Q626" s="45"/>
      <c r="R626" s="45"/>
      <c r="S626" s="43"/>
      <c r="T626" s="43"/>
      <c r="U626" s="43"/>
      <c r="V626" s="43"/>
      <c r="W626" s="43"/>
      <c r="X626" s="43"/>
      <c r="Y626" s="43"/>
      <c r="Z626" s="43"/>
      <c r="AA626" s="43"/>
      <c r="AB626" s="43"/>
      <c r="AC626" s="43"/>
      <c r="AD626" s="43"/>
      <c r="AE626" s="48"/>
      <c r="AF626" s="48"/>
      <c r="AG626" s="48"/>
      <c r="AH626" s="50"/>
    </row>
    <row r="627" spans="8:34" ht="12.5">
      <c r="H627" s="43"/>
      <c r="I627" s="43"/>
      <c r="J627" s="43"/>
      <c r="K627" s="44"/>
      <c r="L627" s="45"/>
      <c r="M627" s="43"/>
      <c r="N627" s="46"/>
      <c r="O627" s="46"/>
      <c r="P627" s="45"/>
      <c r="Q627" s="45"/>
      <c r="R627" s="45"/>
      <c r="S627" s="43"/>
      <c r="T627" s="43"/>
      <c r="U627" s="43"/>
      <c r="V627" s="43"/>
      <c r="W627" s="43"/>
      <c r="X627" s="43"/>
      <c r="Y627" s="43"/>
      <c r="Z627" s="43"/>
      <c r="AA627" s="43"/>
      <c r="AB627" s="43"/>
      <c r="AC627" s="43"/>
      <c r="AD627" s="43"/>
      <c r="AE627" s="48"/>
      <c r="AF627" s="48"/>
      <c r="AG627" s="48"/>
      <c r="AH627" s="50"/>
    </row>
    <row r="628" spans="8:34" ht="12.5">
      <c r="H628" s="43"/>
      <c r="I628" s="43"/>
      <c r="J628" s="43"/>
      <c r="K628" s="44"/>
      <c r="L628" s="45"/>
      <c r="M628" s="43"/>
      <c r="N628" s="46"/>
      <c r="O628" s="46"/>
      <c r="P628" s="45"/>
      <c r="Q628" s="45"/>
      <c r="R628" s="45"/>
      <c r="S628" s="43"/>
      <c r="T628" s="43"/>
      <c r="U628" s="43"/>
      <c r="V628" s="43"/>
      <c r="W628" s="43"/>
      <c r="X628" s="43"/>
      <c r="Y628" s="43"/>
      <c r="Z628" s="43"/>
      <c r="AA628" s="43"/>
      <c r="AB628" s="43"/>
      <c r="AC628" s="43"/>
      <c r="AD628" s="43"/>
      <c r="AE628" s="48"/>
      <c r="AF628" s="48"/>
      <c r="AG628" s="48"/>
      <c r="AH628" s="50"/>
    </row>
    <row r="629" spans="8:34" ht="12.5">
      <c r="H629" s="43"/>
      <c r="I629" s="43"/>
      <c r="J629" s="43"/>
      <c r="K629" s="44"/>
      <c r="L629" s="45"/>
      <c r="M629" s="43"/>
      <c r="N629" s="46"/>
      <c r="O629" s="46"/>
      <c r="P629" s="45"/>
      <c r="Q629" s="45"/>
      <c r="R629" s="45"/>
      <c r="S629" s="43"/>
      <c r="T629" s="43"/>
      <c r="U629" s="43"/>
      <c r="V629" s="43"/>
      <c r="W629" s="43"/>
      <c r="X629" s="43"/>
      <c r="Y629" s="43"/>
      <c r="Z629" s="43"/>
      <c r="AA629" s="43"/>
      <c r="AB629" s="43"/>
      <c r="AC629" s="43"/>
      <c r="AD629" s="43"/>
      <c r="AE629" s="48"/>
      <c r="AF629" s="48"/>
      <c r="AG629" s="48"/>
      <c r="AH629" s="50"/>
    </row>
    <row r="630" spans="8:34" ht="12.5">
      <c r="H630" s="43"/>
      <c r="I630" s="43"/>
      <c r="J630" s="43"/>
      <c r="K630" s="44"/>
      <c r="L630" s="45"/>
      <c r="M630" s="43"/>
      <c r="N630" s="46"/>
      <c r="O630" s="46"/>
      <c r="P630" s="45"/>
      <c r="Q630" s="45"/>
      <c r="R630" s="45"/>
      <c r="S630" s="43"/>
      <c r="T630" s="43"/>
      <c r="U630" s="43"/>
      <c r="V630" s="43"/>
      <c r="W630" s="43"/>
      <c r="X630" s="43"/>
      <c r="Y630" s="43"/>
      <c r="Z630" s="43"/>
      <c r="AA630" s="43"/>
      <c r="AB630" s="43"/>
      <c r="AC630" s="43"/>
      <c r="AD630" s="43"/>
      <c r="AE630" s="48"/>
      <c r="AF630" s="48"/>
      <c r="AG630" s="48"/>
      <c r="AH630" s="50"/>
    </row>
    <row r="631" spans="8:34" ht="12.5">
      <c r="H631" s="43"/>
      <c r="I631" s="43"/>
      <c r="J631" s="43"/>
      <c r="K631" s="44"/>
      <c r="L631" s="45"/>
      <c r="M631" s="43"/>
      <c r="N631" s="46"/>
      <c r="O631" s="46"/>
      <c r="P631" s="45"/>
      <c r="Q631" s="45"/>
      <c r="R631" s="45"/>
      <c r="S631" s="43"/>
      <c r="T631" s="43"/>
      <c r="U631" s="43"/>
      <c r="V631" s="43"/>
      <c r="W631" s="43"/>
      <c r="X631" s="43"/>
      <c r="Y631" s="43"/>
      <c r="Z631" s="43"/>
      <c r="AA631" s="43"/>
      <c r="AB631" s="43"/>
      <c r="AC631" s="43"/>
      <c r="AD631" s="43"/>
      <c r="AE631" s="48"/>
      <c r="AF631" s="48"/>
      <c r="AG631" s="48"/>
      <c r="AH631" s="50"/>
    </row>
    <row r="632" spans="8:34" ht="12.5">
      <c r="H632" s="43"/>
      <c r="I632" s="43"/>
      <c r="J632" s="43"/>
      <c r="K632" s="44"/>
      <c r="L632" s="45"/>
      <c r="M632" s="43"/>
      <c r="N632" s="46"/>
      <c r="O632" s="46"/>
      <c r="P632" s="45"/>
      <c r="Q632" s="45"/>
      <c r="R632" s="45"/>
      <c r="S632" s="43"/>
      <c r="T632" s="43"/>
      <c r="U632" s="43"/>
      <c r="V632" s="43"/>
      <c r="W632" s="43"/>
      <c r="X632" s="43"/>
      <c r="Y632" s="43"/>
      <c r="Z632" s="43"/>
      <c r="AA632" s="43"/>
      <c r="AB632" s="43"/>
      <c r="AC632" s="43"/>
      <c r="AD632" s="43"/>
      <c r="AE632" s="48"/>
      <c r="AF632" s="48"/>
      <c r="AG632" s="48"/>
      <c r="AH632" s="50"/>
    </row>
    <row r="633" spans="8:34" ht="12.5">
      <c r="H633" s="43"/>
      <c r="I633" s="43"/>
      <c r="J633" s="43"/>
      <c r="K633" s="44"/>
      <c r="L633" s="45"/>
      <c r="M633" s="43"/>
      <c r="N633" s="46"/>
      <c r="O633" s="46"/>
      <c r="P633" s="45"/>
      <c r="Q633" s="45"/>
      <c r="R633" s="45"/>
      <c r="S633" s="43"/>
      <c r="T633" s="43"/>
      <c r="U633" s="43"/>
      <c r="V633" s="43"/>
      <c r="W633" s="43"/>
      <c r="X633" s="43"/>
      <c r="Y633" s="43"/>
      <c r="Z633" s="43"/>
      <c r="AA633" s="43"/>
      <c r="AB633" s="43"/>
      <c r="AC633" s="43"/>
      <c r="AD633" s="43"/>
      <c r="AE633" s="48"/>
      <c r="AF633" s="48"/>
      <c r="AG633" s="48"/>
      <c r="AH633" s="50"/>
    </row>
    <row r="634" spans="8:34" ht="12.5">
      <c r="H634" s="43"/>
      <c r="I634" s="43"/>
      <c r="J634" s="43"/>
      <c r="K634" s="44"/>
      <c r="L634" s="45"/>
      <c r="M634" s="43"/>
      <c r="N634" s="46"/>
      <c r="O634" s="46"/>
      <c r="P634" s="45"/>
      <c r="Q634" s="45"/>
      <c r="R634" s="45"/>
      <c r="S634" s="43"/>
      <c r="T634" s="43"/>
      <c r="U634" s="43"/>
      <c r="V634" s="43"/>
      <c r="W634" s="43"/>
      <c r="X634" s="43"/>
      <c r="Y634" s="43"/>
      <c r="Z634" s="43"/>
      <c r="AA634" s="43"/>
      <c r="AB634" s="43"/>
      <c r="AC634" s="43"/>
      <c r="AD634" s="43"/>
      <c r="AE634" s="48"/>
      <c r="AF634" s="48"/>
      <c r="AG634" s="48"/>
      <c r="AH634" s="50"/>
    </row>
    <row r="635" spans="8:34" ht="12.5">
      <c r="H635" s="43"/>
      <c r="I635" s="43"/>
      <c r="J635" s="43"/>
      <c r="K635" s="44"/>
      <c r="L635" s="45"/>
      <c r="M635" s="43"/>
      <c r="N635" s="46"/>
      <c r="O635" s="46"/>
      <c r="P635" s="45"/>
      <c r="Q635" s="45"/>
      <c r="R635" s="45"/>
      <c r="S635" s="43"/>
      <c r="T635" s="43"/>
      <c r="U635" s="43"/>
      <c r="V635" s="43"/>
      <c r="W635" s="43"/>
      <c r="X635" s="43"/>
      <c r="Y635" s="43"/>
      <c r="Z635" s="43"/>
      <c r="AA635" s="43"/>
      <c r="AB635" s="43"/>
      <c r="AC635" s="43"/>
      <c r="AD635" s="43"/>
      <c r="AE635" s="48"/>
      <c r="AF635" s="48"/>
      <c r="AG635" s="48"/>
      <c r="AH635" s="50"/>
    </row>
    <row r="636" spans="8:34" ht="12.5">
      <c r="H636" s="43"/>
      <c r="I636" s="43"/>
      <c r="J636" s="43"/>
      <c r="K636" s="44"/>
      <c r="L636" s="45"/>
      <c r="M636" s="43"/>
      <c r="N636" s="46"/>
      <c r="O636" s="46"/>
      <c r="P636" s="45"/>
      <c r="Q636" s="45"/>
      <c r="R636" s="45"/>
      <c r="S636" s="43"/>
      <c r="T636" s="43"/>
      <c r="U636" s="43"/>
      <c r="V636" s="43"/>
      <c r="W636" s="43"/>
      <c r="X636" s="43"/>
      <c r="Y636" s="43"/>
      <c r="Z636" s="43"/>
      <c r="AA636" s="43"/>
      <c r="AB636" s="43"/>
      <c r="AC636" s="43"/>
      <c r="AD636" s="43"/>
      <c r="AE636" s="48"/>
      <c r="AF636" s="48"/>
      <c r="AG636" s="48"/>
      <c r="AH636" s="50"/>
    </row>
    <row r="637" spans="8:34" ht="12.5">
      <c r="H637" s="43"/>
      <c r="I637" s="43"/>
      <c r="J637" s="43"/>
      <c r="K637" s="44"/>
      <c r="L637" s="45"/>
      <c r="M637" s="43"/>
      <c r="N637" s="46"/>
      <c r="O637" s="46"/>
      <c r="P637" s="45"/>
      <c r="Q637" s="45"/>
      <c r="R637" s="45"/>
      <c r="S637" s="43"/>
      <c r="T637" s="43"/>
      <c r="U637" s="43"/>
      <c r="V637" s="43"/>
      <c r="W637" s="43"/>
      <c r="X637" s="43"/>
      <c r="Y637" s="43"/>
      <c r="Z637" s="43"/>
      <c r="AA637" s="43"/>
      <c r="AB637" s="43"/>
      <c r="AC637" s="43"/>
      <c r="AD637" s="43"/>
      <c r="AE637" s="48"/>
      <c r="AF637" s="48"/>
      <c r="AG637" s="48"/>
      <c r="AH637" s="50"/>
    </row>
    <row r="638" spans="8:34" ht="12.5">
      <c r="H638" s="43"/>
      <c r="I638" s="43"/>
      <c r="J638" s="43"/>
      <c r="K638" s="44"/>
      <c r="L638" s="45"/>
      <c r="M638" s="43"/>
      <c r="N638" s="46"/>
      <c r="O638" s="46"/>
      <c r="P638" s="45"/>
      <c r="Q638" s="45"/>
      <c r="R638" s="45"/>
      <c r="S638" s="43"/>
      <c r="T638" s="43"/>
      <c r="U638" s="43"/>
      <c r="V638" s="43"/>
      <c r="W638" s="43"/>
      <c r="X638" s="43"/>
      <c r="Y638" s="43"/>
      <c r="Z638" s="43"/>
      <c r="AA638" s="43"/>
      <c r="AB638" s="43"/>
      <c r="AC638" s="43"/>
      <c r="AD638" s="43"/>
      <c r="AE638" s="48"/>
      <c r="AF638" s="48"/>
      <c r="AG638" s="48"/>
      <c r="AH638" s="50"/>
    </row>
    <row r="639" spans="8:34" ht="12.5">
      <c r="H639" s="43"/>
      <c r="I639" s="43"/>
      <c r="J639" s="43"/>
      <c r="K639" s="44"/>
      <c r="L639" s="45"/>
      <c r="M639" s="43"/>
      <c r="N639" s="46"/>
      <c r="O639" s="46"/>
      <c r="P639" s="45"/>
      <c r="Q639" s="45"/>
      <c r="R639" s="45"/>
      <c r="S639" s="43"/>
      <c r="T639" s="43"/>
      <c r="U639" s="43"/>
      <c r="V639" s="43"/>
      <c r="W639" s="43"/>
      <c r="X639" s="43"/>
      <c r="Y639" s="43"/>
      <c r="Z639" s="43"/>
      <c r="AA639" s="43"/>
      <c r="AB639" s="43"/>
      <c r="AC639" s="43"/>
      <c r="AD639" s="43"/>
      <c r="AE639" s="48"/>
      <c r="AF639" s="48"/>
      <c r="AG639" s="48"/>
      <c r="AH639" s="50"/>
    </row>
    <row r="640" spans="8:34" ht="12.5">
      <c r="H640" s="43"/>
      <c r="I640" s="43"/>
      <c r="J640" s="43"/>
      <c r="K640" s="44"/>
      <c r="L640" s="45"/>
      <c r="M640" s="43"/>
      <c r="N640" s="46"/>
      <c r="O640" s="46"/>
      <c r="P640" s="45"/>
      <c r="Q640" s="45"/>
      <c r="R640" s="45"/>
      <c r="S640" s="43"/>
      <c r="T640" s="43"/>
      <c r="U640" s="43"/>
      <c r="V640" s="43"/>
      <c r="W640" s="43"/>
      <c r="X640" s="43"/>
      <c r="Y640" s="43"/>
      <c r="Z640" s="43"/>
      <c r="AA640" s="43"/>
      <c r="AB640" s="43"/>
      <c r="AC640" s="43"/>
      <c r="AD640" s="43"/>
      <c r="AE640" s="48"/>
      <c r="AF640" s="48"/>
      <c r="AG640" s="48"/>
      <c r="AH640" s="50"/>
    </row>
    <row r="641" spans="8:34" ht="12.5">
      <c r="H641" s="43"/>
      <c r="I641" s="43"/>
      <c r="J641" s="43"/>
      <c r="K641" s="44"/>
      <c r="L641" s="45"/>
      <c r="M641" s="43"/>
      <c r="N641" s="46"/>
      <c r="O641" s="46"/>
      <c r="P641" s="45"/>
      <c r="Q641" s="45"/>
      <c r="R641" s="45"/>
      <c r="S641" s="43"/>
      <c r="T641" s="43"/>
      <c r="U641" s="43"/>
      <c r="V641" s="43"/>
      <c r="W641" s="43"/>
      <c r="X641" s="43"/>
      <c r="Y641" s="43"/>
      <c r="Z641" s="43"/>
      <c r="AA641" s="43"/>
      <c r="AB641" s="43"/>
      <c r="AC641" s="43"/>
      <c r="AD641" s="43"/>
      <c r="AE641" s="48"/>
      <c r="AF641" s="48"/>
      <c r="AG641" s="48"/>
      <c r="AH641" s="50"/>
    </row>
    <row r="642" spans="8:34" ht="12.5">
      <c r="H642" s="43"/>
      <c r="I642" s="43"/>
      <c r="J642" s="43"/>
      <c r="K642" s="44"/>
      <c r="L642" s="45"/>
      <c r="M642" s="43"/>
      <c r="N642" s="46"/>
      <c r="O642" s="46"/>
      <c r="P642" s="45"/>
      <c r="Q642" s="45"/>
      <c r="R642" s="45"/>
      <c r="S642" s="43"/>
      <c r="T642" s="43"/>
      <c r="U642" s="43"/>
      <c r="V642" s="43"/>
      <c r="W642" s="43"/>
      <c r="X642" s="43"/>
      <c r="Y642" s="43"/>
      <c r="Z642" s="43"/>
      <c r="AA642" s="43"/>
      <c r="AB642" s="43"/>
      <c r="AC642" s="43"/>
      <c r="AD642" s="43"/>
      <c r="AE642" s="48"/>
      <c r="AF642" s="48"/>
      <c r="AG642" s="48"/>
      <c r="AH642" s="50"/>
    </row>
    <row r="643" spans="8:34" ht="12.5">
      <c r="H643" s="43"/>
      <c r="I643" s="43"/>
      <c r="J643" s="43"/>
      <c r="K643" s="44"/>
      <c r="L643" s="45"/>
      <c r="M643" s="43"/>
      <c r="N643" s="46"/>
      <c r="O643" s="46"/>
      <c r="P643" s="45"/>
      <c r="Q643" s="45"/>
      <c r="R643" s="45"/>
      <c r="S643" s="43"/>
      <c r="T643" s="43"/>
      <c r="U643" s="43"/>
      <c r="V643" s="43"/>
      <c r="W643" s="43"/>
      <c r="X643" s="43"/>
      <c r="Y643" s="43"/>
      <c r="Z643" s="43"/>
      <c r="AA643" s="43"/>
      <c r="AB643" s="43"/>
      <c r="AC643" s="43"/>
      <c r="AD643" s="43"/>
      <c r="AE643" s="48"/>
      <c r="AF643" s="48"/>
      <c r="AG643" s="48"/>
      <c r="AH643" s="50"/>
    </row>
    <row r="644" spans="8:34" ht="12.5">
      <c r="H644" s="43"/>
      <c r="I644" s="43"/>
      <c r="J644" s="43"/>
      <c r="K644" s="44"/>
      <c r="L644" s="45"/>
      <c r="M644" s="43"/>
      <c r="N644" s="46"/>
      <c r="O644" s="46"/>
      <c r="P644" s="45"/>
      <c r="Q644" s="45"/>
      <c r="R644" s="45"/>
      <c r="S644" s="43"/>
      <c r="T644" s="43"/>
      <c r="U644" s="43"/>
      <c r="V644" s="43"/>
      <c r="W644" s="43"/>
      <c r="X644" s="43"/>
      <c r="Y644" s="43"/>
      <c r="Z644" s="43"/>
      <c r="AA644" s="43"/>
      <c r="AB644" s="43"/>
      <c r="AC644" s="43"/>
      <c r="AD644" s="43"/>
      <c r="AE644" s="48"/>
      <c r="AF644" s="48"/>
      <c r="AG644" s="48"/>
      <c r="AH644" s="50"/>
    </row>
    <row r="645" spans="8:34" ht="12.5">
      <c r="H645" s="43"/>
      <c r="I645" s="43"/>
      <c r="J645" s="43"/>
      <c r="K645" s="44"/>
      <c r="L645" s="45"/>
      <c r="M645" s="43"/>
      <c r="N645" s="46"/>
      <c r="O645" s="46"/>
      <c r="P645" s="45"/>
      <c r="Q645" s="45"/>
      <c r="R645" s="45"/>
      <c r="S645" s="43"/>
      <c r="T645" s="43"/>
      <c r="U645" s="43"/>
      <c r="V645" s="43"/>
      <c r="W645" s="43"/>
      <c r="X645" s="43"/>
      <c r="Y645" s="43"/>
      <c r="Z645" s="43"/>
      <c r="AA645" s="43"/>
      <c r="AB645" s="43"/>
      <c r="AC645" s="43"/>
      <c r="AD645" s="43"/>
      <c r="AE645" s="48"/>
      <c r="AF645" s="48"/>
      <c r="AG645" s="48"/>
      <c r="AH645" s="50"/>
    </row>
    <row r="646" spans="8:34" ht="12.5">
      <c r="H646" s="43"/>
      <c r="I646" s="43"/>
      <c r="J646" s="43"/>
      <c r="K646" s="44"/>
      <c r="L646" s="45"/>
      <c r="M646" s="43"/>
      <c r="N646" s="46"/>
      <c r="O646" s="46"/>
      <c r="P646" s="45"/>
      <c r="Q646" s="45"/>
      <c r="R646" s="45"/>
      <c r="S646" s="43"/>
      <c r="T646" s="43"/>
      <c r="U646" s="43"/>
      <c r="V646" s="43"/>
      <c r="W646" s="43"/>
      <c r="X646" s="43"/>
      <c r="Y646" s="43"/>
      <c r="Z646" s="43"/>
      <c r="AA646" s="43"/>
      <c r="AB646" s="43"/>
      <c r="AC646" s="43"/>
      <c r="AD646" s="43"/>
      <c r="AE646" s="48"/>
      <c r="AF646" s="48"/>
      <c r="AG646" s="48"/>
      <c r="AH646" s="50"/>
    </row>
    <row r="647" spans="8:34" ht="12.5">
      <c r="H647" s="43"/>
      <c r="I647" s="43"/>
      <c r="J647" s="43"/>
      <c r="K647" s="44"/>
      <c r="L647" s="45"/>
      <c r="M647" s="43"/>
      <c r="N647" s="46"/>
      <c r="O647" s="46"/>
      <c r="P647" s="45"/>
      <c r="Q647" s="45"/>
      <c r="R647" s="45"/>
      <c r="S647" s="43"/>
      <c r="T647" s="43"/>
      <c r="U647" s="43"/>
      <c r="V647" s="43"/>
      <c r="W647" s="43"/>
      <c r="X647" s="43"/>
      <c r="Y647" s="43"/>
      <c r="Z647" s="43"/>
      <c r="AA647" s="43"/>
      <c r="AB647" s="43"/>
      <c r="AC647" s="43"/>
      <c r="AD647" s="43"/>
      <c r="AE647" s="48"/>
      <c r="AF647" s="48"/>
      <c r="AG647" s="48"/>
      <c r="AH647" s="50"/>
    </row>
    <row r="648" spans="8:34" ht="12.5">
      <c r="H648" s="43"/>
      <c r="I648" s="43"/>
      <c r="J648" s="43"/>
      <c r="K648" s="44"/>
      <c r="L648" s="45"/>
      <c r="M648" s="43"/>
      <c r="N648" s="46"/>
      <c r="O648" s="46"/>
      <c r="P648" s="45"/>
      <c r="Q648" s="45"/>
      <c r="R648" s="45"/>
      <c r="S648" s="43"/>
      <c r="T648" s="43"/>
      <c r="U648" s="43"/>
      <c r="V648" s="43"/>
      <c r="W648" s="43"/>
      <c r="X648" s="43"/>
      <c r="Y648" s="43"/>
      <c r="Z648" s="43"/>
      <c r="AA648" s="43"/>
      <c r="AB648" s="43"/>
      <c r="AC648" s="43"/>
      <c r="AD648" s="43"/>
      <c r="AE648" s="48"/>
      <c r="AF648" s="48"/>
      <c r="AG648" s="48"/>
      <c r="AH648" s="50"/>
    </row>
    <row r="649" spans="8:34" ht="12.5">
      <c r="H649" s="43"/>
      <c r="I649" s="43"/>
      <c r="J649" s="43"/>
      <c r="K649" s="44"/>
      <c r="L649" s="45"/>
      <c r="M649" s="43"/>
      <c r="N649" s="46"/>
      <c r="O649" s="46"/>
      <c r="P649" s="45"/>
      <c r="Q649" s="45"/>
      <c r="R649" s="45"/>
      <c r="S649" s="43"/>
      <c r="T649" s="43"/>
      <c r="U649" s="43"/>
      <c r="V649" s="43"/>
      <c r="W649" s="43"/>
      <c r="X649" s="43"/>
      <c r="Y649" s="43"/>
      <c r="Z649" s="43"/>
      <c r="AA649" s="43"/>
      <c r="AB649" s="43"/>
      <c r="AC649" s="43"/>
      <c r="AD649" s="43"/>
      <c r="AE649" s="48"/>
      <c r="AF649" s="48"/>
      <c r="AG649" s="48"/>
      <c r="AH649" s="50"/>
    </row>
    <row r="650" spans="8:34" ht="12.5">
      <c r="H650" s="43"/>
      <c r="I650" s="43"/>
      <c r="J650" s="43"/>
      <c r="K650" s="44"/>
      <c r="L650" s="45"/>
      <c r="M650" s="43"/>
      <c r="N650" s="46"/>
      <c r="O650" s="46"/>
      <c r="P650" s="45"/>
      <c r="Q650" s="45"/>
      <c r="R650" s="45"/>
      <c r="S650" s="43"/>
      <c r="T650" s="43"/>
      <c r="U650" s="43"/>
      <c r="V650" s="43"/>
      <c r="W650" s="43"/>
      <c r="X650" s="43"/>
      <c r="Y650" s="43"/>
      <c r="Z650" s="43"/>
      <c r="AA650" s="43"/>
      <c r="AB650" s="43"/>
      <c r="AC650" s="43"/>
      <c r="AD650" s="43"/>
      <c r="AE650" s="48"/>
      <c r="AF650" s="48"/>
      <c r="AG650" s="48"/>
      <c r="AH650" s="50"/>
    </row>
    <row r="651" spans="8:34" ht="12.5">
      <c r="H651" s="43"/>
      <c r="I651" s="43"/>
      <c r="J651" s="43"/>
      <c r="K651" s="44"/>
      <c r="L651" s="45"/>
      <c r="M651" s="43"/>
      <c r="N651" s="46"/>
      <c r="O651" s="46"/>
      <c r="P651" s="45"/>
      <c r="Q651" s="45"/>
      <c r="R651" s="45"/>
      <c r="S651" s="43"/>
      <c r="T651" s="43"/>
      <c r="U651" s="43"/>
      <c r="V651" s="43"/>
      <c r="W651" s="43"/>
      <c r="X651" s="43"/>
      <c r="Y651" s="43"/>
      <c r="Z651" s="43"/>
      <c r="AA651" s="43"/>
      <c r="AB651" s="43"/>
      <c r="AC651" s="43"/>
      <c r="AD651" s="43"/>
      <c r="AE651" s="48"/>
      <c r="AF651" s="48"/>
      <c r="AG651" s="48"/>
      <c r="AH651" s="50"/>
    </row>
    <row r="652" spans="8:34" ht="12.5">
      <c r="H652" s="43"/>
      <c r="I652" s="43"/>
      <c r="J652" s="43"/>
      <c r="K652" s="44"/>
      <c r="L652" s="45"/>
      <c r="M652" s="43"/>
      <c r="N652" s="46"/>
      <c r="O652" s="46"/>
      <c r="P652" s="45"/>
      <c r="Q652" s="45"/>
      <c r="R652" s="45"/>
      <c r="S652" s="43"/>
      <c r="T652" s="43"/>
      <c r="U652" s="43"/>
      <c r="V652" s="43"/>
      <c r="W652" s="43"/>
      <c r="X652" s="43"/>
      <c r="Y652" s="43"/>
      <c r="Z652" s="43"/>
      <c r="AA652" s="43"/>
      <c r="AB652" s="43"/>
      <c r="AC652" s="43"/>
      <c r="AD652" s="43"/>
      <c r="AE652" s="48"/>
      <c r="AF652" s="48"/>
      <c r="AG652" s="48"/>
      <c r="AH652" s="50"/>
    </row>
    <row r="653" spans="8:34" ht="12.5">
      <c r="H653" s="43"/>
      <c r="I653" s="43"/>
      <c r="J653" s="43"/>
      <c r="K653" s="44"/>
      <c r="L653" s="45"/>
      <c r="M653" s="43"/>
      <c r="N653" s="46"/>
      <c r="O653" s="46"/>
      <c r="P653" s="45"/>
      <c r="Q653" s="45"/>
      <c r="R653" s="45"/>
      <c r="S653" s="43"/>
      <c r="T653" s="43"/>
      <c r="U653" s="43"/>
      <c r="V653" s="43"/>
      <c r="W653" s="43"/>
      <c r="X653" s="43"/>
      <c r="Y653" s="43"/>
      <c r="Z653" s="43"/>
      <c r="AA653" s="43"/>
      <c r="AB653" s="43"/>
      <c r="AC653" s="43"/>
      <c r="AD653" s="43"/>
      <c r="AE653" s="48"/>
      <c r="AF653" s="48"/>
      <c r="AG653" s="48"/>
      <c r="AH653" s="50"/>
    </row>
    <row r="654" spans="8:34" ht="12.5">
      <c r="H654" s="43"/>
      <c r="I654" s="43"/>
      <c r="J654" s="43"/>
      <c r="K654" s="44"/>
      <c r="L654" s="45"/>
      <c r="M654" s="43"/>
      <c r="N654" s="46"/>
      <c r="O654" s="46"/>
      <c r="P654" s="45"/>
      <c r="Q654" s="45"/>
      <c r="R654" s="45"/>
      <c r="S654" s="43"/>
      <c r="T654" s="43"/>
      <c r="U654" s="43"/>
      <c r="V654" s="43"/>
      <c r="W654" s="43"/>
      <c r="X654" s="43"/>
      <c r="Y654" s="43"/>
      <c r="Z654" s="43"/>
      <c r="AA654" s="43"/>
      <c r="AB654" s="43"/>
      <c r="AC654" s="43"/>
      <c r="AD654" s="43"/>
      <c r="AE654" s="48"/>
      <c r="AF654" s="48"/>
      <c r="AG654" s="48"/>
      <c r="AH654" s="50"/>
    </row>
    <row r="655" spans="8:34" ht="12.5">
      <c r="H655" s="43"/>
      <c r="I655" s="43"/>
      <c r="J655" s="43"/>
      <c r="K655" s="44"/>
      <c r="L655" s="45"/>
      <c r="M655" s="43"/>
      <c r="N655" s="46"/>
      <c r="O655" s="46"/>
      <c r="P655" s="45"/>
      <c r="Q655" s="45"/>
      <c r="R655" s="45"/>
      <c r="S655" s="43"/>
      <c r="T655" s="43"/>
      <c r="U655" s="43"/>
      <c r="V655" s="43"/>
      <c r="W655" s="43"/>
      <c r="X655" s="43"/>
      <c r="Y655" s="43"/>
      <c r="Z655" s="43"/>
      <c r="AA655" s="43"/>
      <c r="AB655" s="43"/>
      <c r="AC655" s="43"/>
      <c r="AD655" s="43"/>
      <c r="AE655" s="48"/>
      <c r="AF655" s="48"/>
      <c r="AG655" s="48"/>
      <c r="AH655" s="50"/>
    </row>
    <row r="656" spans="8:34" ht="12.5">
      <c r="H656" s="43"/>
      <c r="I656" s="43"/>
      <c r="J656" s="43"/>
      <c r="K656" s="44"/>
      <c r="L656" s="45"/>
      <c r="M656" s="43"/>
      <c r="N656" s="46"/>
      <c r="O656" s="46"/>
      <c r="P656" s="45"/>
      <c r="Q656" s="45"/>
      <c r="R656" s="45"/>
      <c r="S656" s="43"/>
      <c r="T656" s="43"/>
      <c r="U656" s="43"/>
      <c r="V656" s="43"/>
      <c r="W656" s="43"/>
      <c r="X656" s="43"/>
      <c r="Y656" s="43"/>
      <c r="Z656" s="43"/>
      <c r="AA656" s="43"/>
      <c r="AB656" s="43"/>
      <c r="AC656" s="43"/>
      <c r="AD656" s="43"/>
      <c r="AE656" s="48"/>
      <c r="AF656" s="48"/>
      <c r="AG656" s="48"/>
      <c r="AH656" s="50"/>
    </row>
    <row r="657" spans="8:34" ht="12.5">
      <c r="H657" s="43"/>
      <c r="I657" s="43"/>
      <c r="J657" s="43"/>
      <c r="K657" s="44"/>
      <c r="L657" s="45"/>
      <c r="M657" s="43"/>
      <c r="N657" s="46"/>
      <c r="O657" s="46"/>
      <c r="P657" s="45"/>
      <c r="Q657" s="45"/>
      <c r="R657" s="45"/>
      <c r="S657" s="43"/>
      <c r="T657" s="43"/>
      <c r="U657" s="43"/>
      <c r="V657" s="43"/>
      <c r="W657" s="43"/>
      <c r="X657" s="43"/>
      <c r="Y657" s="43"/>
      <c r="Z657" s="43"/>
      <c r="AA657" s="43"/>
      <c r="AB657" s="43"/>
      <c r="AC657" s="43"/>
      <c r="AD657" s="43"/>
      <c r="AE657" s="48"/>
      <c r="AF657" s="48"/>
      <c r="AG657" s="48"/>
      <c r="AH657" s="50"/>
    </row>
    <row r="658" spans="8:34" ht="12.5">
      <c r="H658" s="43"/>
      <c r="I658" s="43"/>
      <c r="J658" s="43"/>
      <c r="K658" s="44"/>
      <c r="L658" s="45"/>
      <c r="M658" s="43"/>
      <c r="N658" s="46"/>
      <c r="O658" s="46"/>
      <c r="P658" s="45"/>
      <c r="Q658" s="45"/>
      <c r="R658" s="45"/>
      <c r="S658" s="43"/>
      <c r="T658" s="43"/>
      <c r="U658" s="43"/>
      <c r="V658" s="43"/>
      <c r="W658" s="43"/>
      <c r="X658" s="43"/>
      <c r="Y658" s="43"/>
      <c r="Z658" s="43"/>
      <c r="AA658" s="43"/>
      <c r="AB658" s="43"/>
      <c r="AC658" s="43"/>
      <c r="AD658" s="43"/>
      <c r="AE658" s="48"/>
      <c r="AF658" s="48"/>
      <c r="AG658" s="48"/>
      <c r="AH658" s="50"/>
    </row>
    <row r="659" spans="8:34" ht="12.5">
      <c r="H659" s="43"/>
      <c r="I659" s="43"/>
      <c r="J659" s="43"/>
      <c r="K659" s="44"/>
      <c r="L659" s="45"/>
      <c r="M659" s="43"/>
      <c r="N659" s="46"/>
      <c r="O659" s="46"/>
      <c r="P659" s="45"/>
      <c r="Q659" s="45"/>
      <c r="R659" s="45"/>
      <c r="S659" s="43"/>
      <c r="T659" s="43"/>
      <c r="U659" s="43"/>
      <c r="V659" s="43"/>
      <c r="W659" s="43"/>
      <c r="X659" s="43"/>
      <c r="Y659" s="43"/>
      <c r="Z659" s="43"/>
      <c r="AA659" s="43"/>
      <c r="AB659" s="43"/>
      <c r="AC659" s="43"/>
      <c r="AD659" s="43"/>
      <c r="AE659" s="48"/>
      <c r="AF659" s="48"/>
      <c r="AG659" s="48"/>
      <c r="AH659" s="50"/>
    </row>
    <row r="660" spans="8:34" ht="12.5">
      <c r="H660" s="43"/>
      <c r="I660" s="43"/>
      <c r="J660" s="43"/>
      <c r="K660" s="44"/>
      <c r="L660" s="45"/>
      <c r="M660" s="43"/>
      <c r="N660" s="46"/>
      <c r="O660" s="46"/>
      <c r="P660" s="45"/>
      <c r="Q660" s="45"/>
      <c r="R660" s="45"/>
      <c r="S660" s="43"/>
      <c r="T660" s="43"/>
      <c r="U660" s="43"/>
      <c r="V660" s="43"/>
      <c r="W660" s="43"/>
      <c r="X660" s="43"/>
      <c r="Y660" s="43"/>
      <c r="Z660" s="43"/>
      <c r="AA660" s="43"/>
      <c r="AB660" s="43"/>
      <c r="AC660" s="43"/>
      <c r="AD660" s="43"/>
      <c r="AE660" s="48"/>
      <c r="AF660" s="48"/>
      <c r="AG660" s="48"/>
      <c r="AH660" s="50"/>
    </row>
    <row r="661" spans="8:34" ht="12.5">
      <c r="H661" s="43"/>
      <c r="I661" s="43"/>
      <c r="J661" s="43"/>
      <c r="K661" s="44"/>
      <c r="L661" s="45"/>
      <c r="M661" s="43"/>
      <c r="N661" s="46"/>
      <c r="O661" s="46"/>
      <c r="P661" s="45"/>
      <c r="Q661" s="45"/>
      <c r="R661" s="45"/>
      <c r="S661" s="43"/>
      <c r="T661" s="43"/>
      <c r="U661" s="43"/>
      <c r="V661" s="43"/>
      <c r="W661" s="43"/>
      <c r="X661" s="43"/>
      <c r="Y661" s="43"/>
      <c r="Z661" s="43"/>
      <c r="AA661" s="43"/>
      <c r="AB661" s="43"/>
      <c r="AC661" s="43"/>
      <c r="AD661" s="43"/>
      <c r="AE661" s="48"/>
      <c r="AF661" s="48"/>
      <c r="AG661" s="48"/>
      <c r="AH661" s="50"/>
    </row>
    <row r="662" spans="8:34" ht="12.5">
      <c r="H662" s="43"/>
      <c r="I662" s="43"/>
      <c r="J662" s="43"/>
      <c r="K662" s="44"/>
      <c r="L662" s="45"/>
      <c r="M662" s="43"/>
      <c r="N662" s="46"/>
      <c r="O662" s="46"/>
      <c r="P662" s="45"/>
      <c r="Q662" s="45"/>
      <c r="R662" s="45"/>
      <c r="S662" s="43"/>
      <c r="T662" s="43"/>
      <c r="U662" s="43"/>
      <c r="V662" s="43"/>
      <c r="W662" s="43"/>
      <c r="X662" s="43"/>
      <c r="Y662" s="43"/>
      <c r="Z662" s="43"/>
      <c r="AA662" s="43"/>
      <c r="AB662" s="43"/>
      <c r="AC662" s="43"/>
      <c r="AD662" s="43"/>
      <c r="AE662" s="48"/>
      <c r="AF662" s="48"/>
      <c r="AG662" s="48"/>
      <c r="AH662" s="50"/>
    </row>
    <row r="663" spans="8:34" ht="12.5">
      <c r="H663" s="43"/>
      <c r="I663" s="43"/>
      <c r="J663" s="43"/>
      <c r="K663" s="44"/>
      <c r="L663" s="45"/>
      <c r="M663" s="43"/>
      <c r="N663" s="46"/>
      <c r="O663" s="46"/>
      <c r="P663" s="45"/>
      <c r="Q663" s="45"/>
      <c r="R663" s="45"/>
      <c r="S663" s="43"/>
      <c r="T663" s="43"/>
      <c r="U663" s="43"/>
      <c r="V663" s="43"/>
      <c r="W663" s="43"/>
      <c r="X663" s="43"/>
      <c r="Y663" s="43"/>
      <c r="Z663" s="43"/>
      <c r="AA663" s="43"/>
      <c r="AB663" s="43"/>
      <c r="AC663" s="43"/>
      <c r="AD663" s="43"/>
      <c r="AE663" s="48"/>
      <c r="AF663" s="48"/>
      <c r="AG663" s="48"/>
      <c r="AH663" s="50"/>
    </row>
    <row r="664" spans="8:34" ht="12.5">
      <c r="H664" s="43"/>
      <c r="I664" s="43"/>
      <c r="J664" s="43"/>
      <c r="K664" s="44"/>
      <c r="L664" s="45"/>
      <c r="M664" s="43"/>
      <c r="N664" s="46"/>
      <c r="O664" s="46"/>
      <c r="P664" s="45"/>
      <c r="Q664" s="45"/>
      <c r="R664" s="45"/>
      <c r="S664" s="43"/>
      <c r="T664" s="43"/>
      <c r="U664" s="43"/>
      <c r="V664" s="43"/>
      <c r="W664" s="43"/>
      <c r="X664" s="43"/>
      <c r="Y664" s="43"/>
      <c r="Z664" s="43"/>
      <c r="AA664" s="43"/>
      <c r="AB664" s="43"/>
      <c r="AC664" s="43"/>
      <c r="AD664" s="43"/>
      <c r="AE664" s="48"/>
      <c r="AF664" s="48"/>
      <c r="AG664" s="48"/>
      <c r="AH664" s="50"/>
    </row>
    <row r="665" spans="8:34" ht="12.5">
      <c r="H665" s="43"/>
      <c r="I665" s="43"/>
      <c r="J665" s="43"/>
      <c r="K665" s="44"/>
      <c r="L665" s="45"/>
      <c r="M665" s="43"/>
      <c r="N665" s="46"/>
      <c r="O665" s="46"/>
      <c r="P665" s="45"/>
      <c r="Q665" s="45"/>
      <c r="R665" s="45"/>
      <c r="S665" s="43"/>
      <c r="T665" s="43"/>
      <c r="U665" s="43"/>
      <c r="V665" s="43"/>
      <c r="W665" s="43"/>
      <c r="X665" s="43"/>
      <c r="Y665" s="43"/>
      <c r="Z665" s="43"/>
      <c r="AA665" s="43"/>
      <c r="AB665" s="43"/>
      <c r="AC665" s="43"/>
      <c r="AD665" s="43"/>
      <c r="AE665" s="48"/>
      <c r="AF665" s="48"/>
      <c r="AG665" s="48"/>
      <c r="AH665" s="50"/>
    </row>
    <row r="666" spans="8:34" ht="12.5">
      <c r="H666" s="43"/>
      <c r="I666" s="43"/>
      <c r="J666" s="43"/>
      <c r="K666" s="44"/>
      <c r="L666" s="45"/>
      <c r="M666" s="43"/>
      <c r="N666" s="46"/>
      <c r="O666" s="46"/>
      <c r="P666" s="45"/>
      <c r="Q666" s="45"/>
      <c r="R666" s="45"/>
      <c r="S666" s="43"/>
      <c r="T666" s="43"/>
      <c r="U666" s="43"/>
      <c r="V666" s="43"/>
      <c r="W666" s="43"/>
      <c r="X666" s="43"/>
      <c r="Y666" s="43"/>
      <c r="Z666" s="43"/>
      <c r="AA666" s="43"/>
      <c r="AB666" s="43"/>
      <c r="AC666" s="43"/>
      <c r="AD666" s="43"/>
      <c r="AE666" s="48"/>
      <c r="AF666" s="48"/>
      <c r="AG666" s="48"/>
      <c r="AH666" s="50"/>
    </row>
    <row r="667" spans="8:34" ht="12.5">
      <c r="H667" s="43"/>
      <c r="I667" s="43"/>
      <c r="J667" s="43"/>
      <c r="K667" s="44"/>
      <c r="L667" s="45"/>
      <c r="M667" s="43"/>
      <c r="N667" s="46"/>
      <c r="O667" s="46"/>
      <c r="P667" s="45"/>
      <c r="Q667" s="45"/>
      <c r="R667" s="45"/>
      <c r="S667" s="43"/>
      <c r="T667" s="43"/>
      <c r="U667" s="43"/>
      <c r="V667" s="43"/>
      <c r="W667" s="43"/>
      <c r="X667" s="43"/>
      <c r="Y667" s="43"/>
      <c r="Z667" s="43"/>
      <c r="AA667" s="43"/>
      <c r="AB667" s="43"/>
      <c r="AC667" s="43"/>
      <c r="AD667" s="43"/>
      <c r="AE667" s="48"/>
      <c r="AF667" s="48"/>
      <c r="AG667" s="48"/>
      <c r="AH667" s="50"/>
    </row>
    <row r="668" spans="8:34" ht="12.5">
      <c r="H668" s="43"/>
      <c r="I668" s="43"/>
      <c r="J668" s="43"/>
      <c r="K668" s="44"/>
      <c r="L668" s="45"/>
      <c r="M668" s="43"/>
      <c r="N668" s="46"/>
      <c r="O668" s="46"/>
      <c r="P668" s="45"/>
      <c r="Q668" s="45"/>
      <c r="R668" s="45"/>
      <c r="S668" s="43"/>
      <c r="T668" s="43"/>
      <c r="U668" s="43"/>
      <c r="V668" s="43"/>
      <c r="W668" s="43"/>
      <c r="X668" s="43"/>
      <c r="Y668" s="43"/>
      <c r="Z668" s="43"/>
      <c r="AA668" s="43"/>
      <c r="AB668" s="43"/>
      <c r="AC668" s="43"/>
      <c r="AD668" s="43"/>
      <c r="AE668" s="48"/>
      <c r="AF668" s="48"/>
      <c r="AG668" s="48"/>
      <c r="AH668" s="50"/>
    </row>
    <row r="669" spans="8:34" ht="12.5">
      <c r="H669" s="43"/>
      <c r="I669" s="43"/>
      <c r="J669" s="43"/>
      <c r="K669" s="44"/>
      <c r="L669" s="45"/>
      <c r="M669" s="43"/>
      <c r="N669" s="46"/>
      <c r="O669" s="46"/>
      <c r="P669" s="45"/>
      <c r="Q669" s="45"/>
      <c r="R669" s="45"/>
      <c r="S669" s="43"/>
      <c r="T669" s="43"/>
      <c r="U669" s="43"/>
      <c r="V669" s="43"/>
      <c r="W669" s="43"/>
      <c r="X669" s="43"/>
      <c r="Y669" s="43"/>
      <c r="Z669" s="43"/>
      <c r="AA669" s="43"/>
      <c r="AB669" s="43"/>
      <c r="AC669" s="43"/>
      <c r="AD669" s="43"/>
      <c r="AE669" s="48"/>
      <c r="AF669" s="48"/>
      <c r="AG669" s="48"/>
      <c r="AH669" s="50"/>
    </row>
    <row r="670" spans="8:34" ht="12.5">
      <c r="H670" s="43"/>
      <c r="I670" s="43"/>
      <c r="J670" s="43"/>
      <c r="K670" s="44"/>
      <c r="L670" s="45"/>
      <c r="M670" s="43"/>
      <c r="N670" s="46"/>
      <c r="O670" s="46"/>
      <c r="P670" s="45"/>
      <c r="Q670" s="45"/>
      <c r="R670" s="45"/>
      <c r="S670" s="43"/>
      <c r="T670" s="43"/>
      <c r="U670" s="43"/>
      <c r="V670" s="43"/>
      <c r="W670" s="43"/>
      <c r="X670" s="43"/>
      <c r="Y670" s="43"/>
      <c r="Z670" s="43"/>
      <c r="AA670" s="43"/>
      <c r="AB670" s="43"/>
      <c r="AC670" s="43"/>
      <c r="AD670" s="43"/>
      <c r="AE670" s="48"/>
      <c r="AF670" s="48"/>
      <c r="AG670" s="48"/>
      <c r="AH670" s="50"/>
    </row>
    <row r="671" spans="8:34" ht="12.5">
      <c r="H671" s="43"/>
      <c r="I671" s="43"/>
      <c r="J671" s="43"/>
      <c r="K671" s="44"/>
      <c r="L671" s="45"/>
      <c r="M671" s="43"/>
      <c r="N671" s="46"/>
      <c r="O671" s="46"/>
      <c r="P671" s="45"/>
      <c r="Q671" s="45"/>
      <c r="R671" s="45"/>
      <c r="S671" s="43"/>
      <c r="T671" s="43"/>
      <c r="U671" s="43"/>
      <c r="V671" s="43"/>
      <c r="W671" s="43"/>
      <c r="X671" s="43"/>
      <c r="Y671" s="43"/>
      <c r="Z671" s="43"/>
      <c r="AA671" s="43"/>
      <c r="AB671" s="43"/>
      <c r="AC671" s="43"/>
      <c r="AD671" s="43"/>
      <c r="AE671" s="48"/>
      <c r="AF671" s="48"/>
      <c r="AG671" s="48"/>
      <c r="AH671" s="50"/>
    </row>
    <row r="672" spans="8:34" ht="12.5">
      <c r="H672" s="43"/>
      <c r="I672" s="43"/>
      <c r="J672" s="43"/>
      <c r="K672" s="44"/>
      <c r="L672" s="45"/>
      <c r="M672" s="43"/>
      <c r="N672" s="46"/>
      <c r="O672" s="46"/>
      <c r="P672" s="45"/>
      <c r="Q672" s="45"/>
      <c r="R672" s="45"/>
      <c r="S672" s="43"/>
      <c r="T672" s="43"/>
      <c r="U672" s="43"/>
      <c r="V672" s="43"/>
      <c r="W672" s="43"/>
      <c r="X672" s="43"/>
      <c r="Y672" s="43"/>
      <c r="Z672" s="43"/>
      <c r="AA672" s="43"/>
      <c r="AB672" s="43"/>
      <c r="AC672" s="43"/>
      <c r="AD672" s="43"/>
      <c r="AE672" s="48"/>
      <c r="AF672" s="48"/>
      <c r="AG672" s="48"/>
      <c r="AH672" s="50"/>
    </row>
    <row r="673" spans="8:34" ht="12.5">
      <c r="H673" s="43"/>
      <c r="I673" s="43"/>
      <c r="J673" s="43"/>
      <c r="K673" s="44"/>
      <c r="L673" s="45"/>
      <c r="M673" s="43"/>
      <c r="N673" s="46"/>
      <c r="O673" s="46"/>
      <c r="P673" s="45"/>
      <c r="Q673" s="45"/>
      <c r="R673" s="45"/>
      <c r="S673" s="43"/>
      <c r="T673" s="43"/>
      <c r="U673" s="43"/>
      <c r="V673" s="43"/>
      <c r="W673" s="43"/>
      <c r="X673" s="43"/>
      <c r="Y673" s="43"/>
      <c r="Z673" s="43"/>
      <c r="AA673" s="43"/>
      <c r="AB673" s="43"/>
      <c r="AC673" s="43"/>
      <c r="AD673" s="43"/>
      <c r="AE673" s="48"/>
      <c r="AF673" s="48"/>
      <c r="AG673" s="48"/>
      <c r="AH673" s="50"/>
    </row>
    <row r="674" spans="8:34" ht="12.5">
      <c r="H674" s="43"/>
      <c r="I674" s="43"/>
      <c r="J674" s="43"/>
      <c r="K674" s="44"/>
      <c r="L674" s="45"/>
      <c r="M674" s="43"/>
      <c r="N674" s="46"/>
      <c r="O674" s="46"/>
      <c r="P674" s="45"/>
      <c r="Q674" s="45"/>
      <c r="R674" s="45"/>
      <c r="S674" s="43"/>
      <c r="T674" s="43"/>
      <c r="U674" s="43"/>
      <c r="V674" s="43"/>
      <c r="W674" s="43"/>
      <c r="X674" s="43"/>
      <c r="Y674" s="43"/>
      <c r="Z674" s="43"/>
      <c r="AA674" s="43"/>
      <c r="AB674" s="43"/>
      <c r="AC674" s="43"/>
      <c r="AD674" s="43"/>
      <c r="AE674" s="48"/>
      <c r="AF674" s="48"/>
      <c r="AG674" s="48"/>
      <c r="AH674" s="50"/>
    </row>
    <row r="675" spans="8:34" ht="12.5">
      <c r="H675" s="43"/>
      <c r="I675" s="43"/>
      <c r="J675" s="43"/>
      <c r="K675" s="44"/>
      <c r="L675" s="45"/>
      <c r="M675" s="43"/>
      <c r="N675" s="46"/>
      <c r="O675" s="46"/>
      <c r="P675" s="45"/>
      <c r="Q675" s="45"/>
      <c r="R675" s="45"/>
      <c r="S675" s="43"/>
      <c r="T675" s="43"/>
      <c r="U675" s="43"/>
      <c r="V675" s="43"/>
      <c r="W675" s="43"/>
      <c r="X675" s="43"/>
      <c r="Y675" s="43"/>
      <c r="Z675" s="43"/>
      <c r="AA675" s="43"/>
      <c r="AB675" s="43"/>
      <c r="AC675" s="43"/>
      <c r="AD675" s="43"/>
      <c r="AE675" s="48"/>
      <c r="AF675" s="48"/>
      <c r="AG675" s="48"/>
      <c r="AH675" s="50"/>
    </row>
    <row r="676" spans="8:34" ht="12.5">
      <c r="H676" s="43"/>
      <c r="I676" s="43"/>
      <c r="J676" s="43"/>
      <c r="K676" s="44"/>
      <c r="L676" s="45"/>
      <c r="M676" s="43"/>
      <c r="N676" s="46"/>
      <c r="O676" s="46"/>
      <c r="P676" s="45"/>
      <c r="Q676" s="45"/>
      <c r="R676" s="45"/>
      <c r="S676" s="43"/>
      <c r="T676" s="43"/>
      <c r="U676" s="43"/>
      <c r="V676" s="43"/>
      <c r="W676" s="43"/>
      <c r="X676" s="43"/>
      <c r="Y676" s="43"/>
      <c r="Z676" s="43"/>
      <c r="AA676" s="43"/>
      <c r="AB676" s="43"/>
      <c r="AC676" s="43"/>
      <c r="AD676" s="43"/>
      <c r="AE676" s="48"/>
      <c r="AF676" s="48"/>
      <c r="AG676" s="48"/>
      <c r="AH676" s="50"/>
    </row>
    <row r="677" spans="8:34" ht="12.5">
      <c r="H677" s="43"/>
      <c r="I677" s="43"/>
      <c r="J677" s="43"/>
      <c r="K677" s="44"/>
      <c r="L677" s="45"/>
      <c r="M677" s="43"/>
      <c r="N677" s="46"/>
      <c r="O677" s="46"/>
      <c r="P677" s="45"/>
      <c r="Q677" s="45"/>
      <c r="R677" s="45"/>
      <c r="S677" s="43"/>
      <c r="T677" s="43"/>
      <c r="U677" s="43"/>
      <c r="V677" s="43"/>
      <c r="W677" s="43"/>
      <c r="X677" s="43"/>
      <c r="Y677" s="43"/>
      <c r="Z677" s="43"/>
      <c r="AA677" s="43"/>
      <c r="AB677" s="43"/>
      <c r="AC677" s="43"/>
      <c r="AD677" s="43"/>
      <c r="AE677" s="48"/>
      <c r="AF677" s="48"/>
      <c r="AG677" s="48"/>
      <c r="AH677" s="50"/>
    </row>
    <row r="678" spans="8:34" ht="12.5">
      <c r="H678" s="43"/>
      <c r="I678" s="43"/>
      <c r="J678" s="43"/>
      <c r="K678" s="44"/>
      <c r="L678" s="45"/>
      <c r="M678" s="43"/>
      <c r="N678" s="46"/>
      <c r="O678" s="46"/>
      <c r="P678" s="45"/>
      <c r="Q678" s="45"/>
      <c r="R678" s="45"/>
      <c r="S678" s="43"/>
      <c r="T678" s="43"/>
      <c r="U678" s="43"/>
      <c r="V678" s="43"/>
      <c r="W678" s="43"/>
      <c r="X678" s="43"/>
      <c r="Y678" s="43"/>
      <c r="Z678" s="43"/>
      <c r="AA678" s="43"/>
      <c r="AB678" s="43"/>
      <c r="AC678" s="43"/>
      <c r="AD678" s="43"/>
      <c r="AE678" s="48"/>
      <c r="AF678" s="48"/>
      <c r="AG678" s="48"/>
      <c r="AH678" s="50"/>
    </row>
    <row r="679" spans="8:34" ht="12.5">
      <c r="H679" s="43"/>
      <c r="I679" s="43"/>
      <c r="J679" s="43"/>
      <c r="K679" s="44"/>
      <c r="L679" s="45"/>
      <c r="M679" s="43"/>
      <c r="N679" s="46"/>
      <c r="O679" s="46"/>
      <c r="P679" s="45"/>
      <c r="Q679" s="45"/>
      <c r="R679" s="45"/>
      <c r="S679" s="43"/>
      <c r="T679" s="43"/>
      <c r="U679" s="43"/>
      <c r="V679" s="43"/>
      <c r="W679" s="43"/>
      <c r="X679" s="43"/>
      <c r="Y679" s="43"/>
      <c r="Z679" s="43"/>
      <c r="AA679" s="43"/>
      <c r="AB679" s="43"/>
      <c r="AC679" s="43"/>
      <c r="AD679" s="43"/>
      <c r="AE679" s="48"/>
      <c r="AF679" s="48"/>
      <c r="AG679" s="48"/>
      <c r="AH679" s="50"/>
    </row>
    <row r="680" spans="8:34" ht="12.5">
      <c r="H680" s="43"/>
      <c r="I680" s="43"/>
      <c r="J680" s="43"/>
      <c r="K680" s="44"/>
      <c r="L680" s="45"/>
      <c r="M680" s="43"/>
      <c r="N680" s="46"/>
      <c r="O680" s="46"/>
      <c r="P680" s="45"/>
      <c r="Q680" s="45"/>
      <c r="R680" s="45"/>
      <c r="S680" s="43"/>
      <c r="T680" s="43"/>
      <c r="U680" s="43"/>
      <c r="V680" s="43"/>
      <c r="W680" s="43"/>
      <c r="X680" s="43"/>
      <c r="Y680" s="43"/>
      <c r="Z680" s="43"/>
      <c r="AA680" s="43"/>
      <c r="AB680" s="43"/>
      <c r="AC680" s="43"/>
      <c r="AD680" s="43"/>
      <c r="AE680" s="48"/>
      <c r="AF680" s="48"/>
      <c r="AG680" s="48"/>
      <c r="AH680" s="50"/>
    </row>
    <row r="681" spans="8:34" ht="12.5">
      <c r="H681" s="43"/>
      <c r="I681" s="43"/>
      <c r="J681" s="43"/>
      <c r="K681" s="44"/>
      <c r="L681" s="45"/>
      <c r="M681" s="43"/>
      <c r="N681" s="46"/>
      <c r="O681" s="46"/>
      <c r="P681" s="45"/>
      <c r="Q681" s="45"/>
      <c r="R681" s="45"/>
      <c r="S681" s="43"/>
      <c r="T681" s="43"/>
      <c r="U681" s="43"/>
      <c r="V681" s="43"/>
      <c r="W681" s="43"/>
      <c r="X681" s="43"/>
      <c r="Y681" s="43"/>
      <c r="Z681" s="43"/>
      <c r="AA681" s="43"/>
      <c r="AB681" s="43"/>
      <c r="AC681" s="43"/>
      <c r="AD681" s="43"/>
      <c r="AE681" s="48"/>
      <c r="AF681" s="48"/>
      <c r="AG681" s="48"/>
      <c r="AH681" s="50"/>
    </row>
    <row r="682" spans="8:34" ht="12.5">
      <c r="H682" s="43"/>
      <c r="I682" s="43"/>
      <c r="J682" s="43"/>
      <c r="K682" s="44"/>
      <c r="L682" s="45"/>
      <c r="M682" s="43"/>
      <c r="N682" s="46"/>
      <c r="O682" s="46"/>
      <c r="P682" s="45"/>
      <c r="Q682" s="45"/>
      <c r="R682" s="45"/>
      <c r="S682" s="43"/>
      <c r="T682" s="43"/>
      <c r="U682" s="43"/>
      <c r="V682" s="43"/>
      <c r="W682" s="43"/>
      <c r="X682" s="43"/>
      <c r="Y682" s="43"/>
      <c r="Z682" s="43"/>
      <c r="AA682" s="43"/>
      <c r="AB682" s="43"/>
      <c r="AC682" s="43"/>
      <c r="AD682" s="43"/>
      <c r="AE682" s="48"/>
      <c r="AF682" s="48"/>
      <c r="AG682" s="48"/>
      <c r="AH682" s="50"/>
    </row>
    <row r="683" spans="8:34" ht="12.5">
      <c r="H683" s="43"/>
      <c r="I683" s="43"/>
      <c r="J683" s="43"/>
      <c r="K683" s="44"/>
      <c r="L683" s="45"/>
      <c r="M683" s="43"/>
      <c r="N683" s="46"/>
      <c r="O683" s="46"/>
      <c r="P683" s="45"/>
      <c r="Q683" s="45"/>
      <c r="R683" s="45"/>
      <c r="S683" s="43"/>
      <c r="T683" s="43"/>
      <c r="U683" s="43"/>
      <c r="V683" s="43"/>
      <c r="W683" s="43"/>
      <c r="X683" s="43"/>
      <c r="Y683" s="43"/>
      <c r="Z683" s="43"/>
      <c r="AA683" s="43"/>
      <c r="AB683" s="43"/>
      <c r="AC683" s="43"/>
      <c r="AD683" s="43"/>
      <c r="AE683" s="48"/>
      <c r="AF683" s="48"/>
      <c r="AG683" s="48"/>
      <c r="AH683" s="50"/>
    </row>
    <row r="684" spans="8:34" ht="12.5">
      <c r="H684" s="43"/>
      <c r="I684" s="43"/>
      <c r="J684" s="43"/>
      <c r="K684" s="44"/>
      <c r="L684" s="45"/>
      <c r="M684" s="43"/>
      <c r="N684" s="46"/>
      <c r="O684" s="46"/>
      <c r="P684" s="45"/>
      <c r="Q684" s="45"/>
      <c r="R684" s="45"/>
      <c r="S684" s="43"/>
      <c r="T684" s="43"/>
      <c r="U684" s="43"/>
      <c r="V684" s="43"/>
      <c r="W684" s="43"/>
      <c r="X684" s="43"/>
      <c r="Y684" s="43"/>
      <c r="Z684" s="43"/>
      <c r="AA684" s="43"/>
      <c r="AB684" s="43"/>
      <c r="AC684" s="43"/>
      <c r="AD684" s="43"/>
      <c r="AE684" s="48"/>
      <c r="AF684" s="48"/>
      <c r="AG684" s="48"/>
      <c r="AH684" s="50"/>
    </row>
    <row r="685" spans="8:34" ht="12.5">
      <c r="H685" s="43"/>
      <c r="I685" s="43"/>
      <c r="J685" s="43"/>
      <c r="K685" s="44"/>
      <c r="L685" s="45"/>
      <c r="M685" s="43"/>
      <c r="N685" s="46"/>
      <c r="O685" s="46"/>
      <c r="P685" s="45"/>
      <c r="Q685" s="45"/>
      <c r="R685" s="45"/>
      <c r="S685" s="43"/>
      <c r="T685" s="43"/>
      <c r="U685" s="43"/>
      <c r="V685" s="43"/>
      <c r="W685" s="43"/>
      <c r="X685" s="43"/>
      <c r="Y685" s="43"/>
      <c r="Z685" s="43"/>
      <c r="AA685" s="43"/>
      <c r="AB685" s="43"/>
      <c r="AC685" s="43"/>
      <c r="AD685" s="43"/>
      <c r="AE685" s="48"/>
      <c r="AF685" s="48"/>
      <c r="AG685" s="48"/>
      <c r="AH685" s="50"/>
    </row>
    <row r="686" spans="8:34" ht="12.5">
      <c r="H686" s="43"/>
      <c r="I686" s="43"/>
      <c r="J686" s="43"/>
      <c r="K686" s="44"/>
      <c r="L686" s="45"/>
      <c r="M686" s="43"/>
      <c r="N686" s="46"/>
      <c r="O686" s="46"/>
      <c r="P686" s="45"/>
      <c r="Q686" s="45"/>
      <c r="R686" s="45"/>
      <c r="S686" s="43"/>
      <c r="T686" s="43"/>
      <c r="U686" s="43"/>
      <c r="V686" s="43"/>
      <c r="W686" s="43"/>
      <c r="X686" s="43"/>
      <c r="Y686" s="43"/>
      <c r="Z686" s="43"/>
      <c r="AA686" s="43"/>
      <c r="AB686" s="43"/>
      <c r="AC686" s="43"/>
      <c r="AD686" s="43"/>
      <c r="AE686" s="48"/>
      <c r="AF686" s="48"/>
      <c r="AG686" s="48"/>
      <c r="AH686" s="50"/>
    </row>
    <row r="687" spans="8:34" ht="12.5">
      <c r="H687" s="43"/>
      <c r="I687" s="43"/>
      <c r="J687" s="43"/>
      <c r="K687" s="44"/>
      <c r="L687" s="45"/>
      <c r="M687" s="43"/>
      <c r="N687" s="46"/>
      <c r="O687" s="46"/>
      <c r="P687" s="45"/>
      <c r="Q687" s="45"/>
      <c r="R687" s="45"/>
      <c r="S687" s="43"/>
      <c r="T687" s="43"/>
      <c r="U687" s="43"/>
      <c r="V687" s="43"/>
      <c r="W687" s="43"/>
      <c r="X687" s="43"/>
      <c r="Y687" s="43"/>
      <c r="Z687" s="43"/>
      <c r="AA687" s="43"/>
      <c r="AB687" s="43"/>
      <c r="AC687" s="43"/>
      <c r="AD687" s="43"/>
      <c r="AE687" s="48"/>
      <c r="AF687" s="48"/>
      <c r="AG687" s="48"/>
      <c r="AH687" s="50"/>
    </row>
    <row r="688" spans="8:34" ht="12.5">
      <c r="H688" s="43"/>
      <c r="I688" s="43"/>
      <c r="J688" s="43"/>
      <c r="K688" s="44"/>
      <c r="L688" s="45"/>
      <c r="M688" s="43"/>
      <c r="N688" s="46"/>
      <c r="O688" s="46"/>
      <c r="P688" s="45"/>
      <c r="Q688" s="45"/>
      <c r="R688" s="45"/>
      <c r="S688" s="43"/>
      <c r="T688" s="43"/>
      <c r="U688" s="43"/>
      <c r="V688" s="43"/>
      <c r="W688" s="43"/>
      <c r="X688" s="43"/>
      <c r="Y688" s="43"/>
      <c r="Z688" s="43"/>
      <c r="AA688" s="43"/>
      <c r="AB688" s="43"/>
      <c r="AC688" s="43"/>
      <c r="AD688" s="43"/>
      <c r="AE688" s="48"/>
      <c r="AF688" s="48"/>
      <c r="AG688" s="48"/>
      <c r="AH688" s="50"/>
    </row>
    <row r="689" spans="8:34" ht="12.5">
      <c r="H689" s="43"/>
      <c r="I689" s="43"/>
      <c r="J689" s="43"/>
      <c r="K689" s="44"/>
      <c r="L689" s="45"/>
      <c r="M689" s="43"/>
      <c r="N689" s="46"/>
      <c r="O689" s="46"/>
      <c r="P689" s="45"/>
      <c r="Q689" s="45"/>
      <c r="R689" s="45"/>
      <c r="S689" s="43"/>
      <c r="T689" s="43"/>
      <c r="U689" s="43"/>
      <c r="V689" s="43"/>
      <c r="W689" s="43"/>
      <c r="X689" s="43"/>
      <c r="Y689" s="43"/>
      <c r="Z689" s="43"/>
      <c r="AA689" s="43"/>
      <c r="AB689" s="43"/>
      <c r="AC689" s="43"/>
      <c r="AD689" s="43"/>
      <c r="AE689" s="48"/>
      <c r="AF689" s="48"/>
      <c r="AG689" s="48"/>
      <c r="AH689" s="50"/>
    </row>
    <row r="690" spans="8:34" ht="12.5">
      <c r="H690" s="43"/>
      <c r="I690" s="43"/>
      <c r="J690" s="43"/>
      <c r="K690" s="44"/>
      <c r="L690" s="45"/>
      <c r="M690" s="43"/>
      <c r="N690" s="46"/>
      <c r="O690" s="46"/>
      <c r="P690" s="45"/>
      <c r="Q690" s="45"/>
      <c r="R690" s="45"/>
      <c r="S690" s="43"/>
      <c r="T690" s="43"/>
      <c r="U690" s="43"/>
      <c r="V690" s="43"/>
      <c r="W690" s="43"/>
      <c r="X690" s="43"/>
      <c r="Y690" s="43"/>
      <c r="Z690" s="43"/>
      <c r="AA690" s="43"/>
      <c r="AB690" s="43"/>
      <c r="AC690" s="43"/>
      <c r="AD690" s="43"/>
      <c r="AE690" s="48"/>
      <c r="AF690" s="48"/>
      <c r="AG690" s="48"/>
      <c r="AH690" s="50"/>
    </row>
    <row r="691" spans="8:34" ht="12.5">
      <c r="H691" s="43"/>
      <c r="I691" s="43"/>
      <c r="J691" s="43"/>
      <c r="K691" s="44"/>
      <c r="L691" s="45"/>
      <c r="M691" s="43"/>
      <c r="N691" s="46"/>
      <c r="O691" s="46"/>
      <c r="P691" s="45"/>
      <c r="Q691" s="45"/>
      <c r="R691" s="45"/>
      <c r="S691" s="43"/>
      <c r="T691" s="43"/>
      <c r="U691" s="43"/>
      <c r="V691" s="43"/>
      <c r="W691" s="43"/>
      <c r="X691" s="43"/>
      <c r="Y691" s="43"/>
      <c r="Z691" s="43"/>
      <c r="AA691" s="43"/>
      <c r="AB691" s="43"/>
      <c r="AC691" s="43"/>
      <c r="AD691" s="43"/>
      <c r="AE691" s="48"/>
      <c r="AF691" s="48"/>
      <c r="AG691" s="48"/>
      <c r="AH691" s="50"/>
    </row>
    <row r="692" spans="8:34" ht="12.5">
      <c r="H692" s="43"/>
      <c r="I692" s="43"/>
      <c r="J692" s="43"/>
      <c r="K692" s="44"/>
      <c r="L692" s="45"/>
      <c r="M692" s="43"/>
      <c r="N692" s="46"/>
      <c r="O692" s="46"/>
      <c r="P692" s="45"/>
      <c r="Q692" s="45"/>
      <c r="R692" s="45"/>
      <c r="S692" s="43"/>
      <c r="T692" s="43"/>
      <c r="U692" s="43"/>
      <c r="V692" s="43"/>
      <c r="W692" s="43"/>
      <c r="X692" s="43"/>
      <c r="Y692" s="43"/>
      <c r="Z692" s="43"/>
      <c r="AA692" s="43"/>
      <c r="AB692" s="43"/>
      <c r="AC692" s="43"/>
      <c r="AD692" s="43"/>
      <c r="AE692" s="48"/>
      <c r="AF692" s="48"/>
      <c r="AG692" s="48"/>
      <c r="AH692" s="50"/>
    </row>
    <row r="693" spans="8:34" ht="12.5">
      <c r="H693" s="43"/>
      <c r="I693" s="43"/>
      <c r="J693" s="43"/>
      <c r="K693" s="44"/>
      <c r="L693" s="45"/>
      <c r="M693" s="43"/>
      <c r="N693" s="46"/>
      <c r="O693" s="46"/>
      <c r="P693" s="45"/>
      <c r="Q693" s="45"/>
      <c r="R693" s="45"/>
      <c r="S693" s="43"/>
      <c r="T693" s="43"/>
      <c r="U693" s="43"/>
      <c r="V693" s="43"/>
      <c r="W693" s="43"/>
      <c r="X693" s="43"/>
      <c r="Y693" s="43"/>
      <c r="Z693" s="43"/>
      <c r="AA693" s="43"/>
      <c r="AB693" s="43"/>
      <c r="AC693" s="43"/>
      <c r="AD693" s="43"/>
      <c r="AE693" s="48"/>
      <c r="AF693" s="48"/>
      <c r="AG693" s="48"/>
      <c r="AH693" s="50"/>
    </row>
    <row r="694" spans="8:34" ht="12.5">
      <c r="H694" s="43"/>
      <c r="I694" s="43"/>
      <c r="J694" s="43"/>
      <c r="K694" s="44"/>
      <c r="L694" s="45"/>
      <c r="M694" s="43"/>
      <c r="N694" s="46"/>
      <c r="O694" s="46"/>
      <c r="P694" s="45"/>
      <c r="Q694" s="45"/>
      <c r="R694" s="45"/>
      <c r="S694" s="43"/>
      <c r="T694" s="43"/>
      <c r="U694" s="43"/>
      <c r="V694" s="43"/>
      <c r="W694" s="43"/>
      <c r="X694" s="43"/>
      <c r="Y694" s="43"/>
      <c r="Z694" s="43"/>
      <c r="AA694" s="43"/>
      <c r="AB694" s="43"/>
      <c r="AC694" s="43"/>
      <c r="AD694" s="43"/>
      <c r="AE694" s="48"/>
      <c r="AF694" s="48"/>
      <c r="AG694" s="48"/>
      <c r="AH694" s="50"/>
    </row>
    <row r="695" spans="8:34" ht="12.5">
      <c r="H695" s="43"/>
      <c r="I695" s="43"/>
      <c r="J695" s="43"/>
      <c r="K695" s="44"/>
      <c r="L695" s="45"/>
      <c r="M695" s="43"/>
      <c r="N695" s="46"/>
      <c r="O695" s="46"/>
      <c r="P695" s="45"/>
      <c r="Q695" s="45"/>
      <c r="R695" s="45"/>
      <c r="S695" s="43"/>
      <c r="T695" s="43"/>
      <c r="U695" s="43"/>
      <c r="V695" s="43"/>
      <c r="W695" s="43"/>
      <c r="X695" s="43"/>
      <c r="Y695" s="43"/>
      <c r="Z695" s="43"/>
      <c r="AA695" s="43"/>
      <c r="AB695" s="43"/>
      <c r="AC695" s="43"/>
      <c r="AD695" s="43"/>
      <c r="AE695" s="48"/>
      <c r="AF695" s="48"/>
      <c r="AG695" s="48"/>
      <c r="AH695" s="50"/>
    </row>
    <row r="696" spans="8:34" ht="12.5">
      <c r="H696" s="43"/>
      <c r="I696" s="43"/>
      <c r="J696" s="43"/>
      <c r="K696" s="44"/>
      <c r="L696" s="45"/>
      <c r="M696" s="43"/>
      <c r="N696" s="46"/>
      <c r="O696" s="46"/>
      <c r="P696" s="45"/>
      <c r="Q696" s="45"/>
      <c r="R696" s="45"/>
      <c r="S696" s="43"/>
      <c r="T696" s="43"/>
      <c r="U696" s="43"/>
      <c r="V696" s="43"/>
      <c r="W696" s="43"/>
      <c r="X696" s="43"/>
      <c r="Y696" s="43"/>
      <c r="Z696" s="43"/>
      <c r="AA696" s="43"/>
      <c r="AB696" s="43"/>
      <c r="AC696" s="43"/>
      <c r="AD696" s="43"/>
      <c r="AE696" s="48"/>
      <c r="AF696" s="48"/>
      <c r="AG696" s="48"/>
      <c r="AH696" s="50"/>
    </row>
    <row r="697" spans="8:34" ht="12.5">
      <c r="H697" s="43"/>
      <c r="I697" s="43"/>
      <c r="J697" s="43"/>
      <c r="K697" s="44"/>
      <c r="L697" s="45"/>
      <c r="M697" s="43"/>
      <c r="N697" s="46"/>
      <c r="O697" s="46"/>
      <c r="P697" s="45"/>
      <c r="Q697" s="45"/>
      <c r="R697" s="45"/>
      <c r="S697" s="43"/>
      <c r="T697" s="43"/>
      <c r="U697" s="43"/>
      <c r="V697" s="43"/>
      <c r="W697" s="43"/>
      <c r="X697" s="43"/>
      <c r="Y697" s="43"/>
      <c r="Z697" s="43"/>
      <c r="AA697" s="43"/>
      <c r="AB697" s="43"/>
      <c r="AC697" s="43"/>
      <c r="AD697" s="43"/>
      <c r="AE697" s="48"/>
      <c r="AF697" s="48"/>
      <c r="AG697" s="48"/>
      <c r="AH697" s="50"/>
    </row>
    <row r="698" spans="8:34" ht="12.5">
      <c r="H698" s="43"/>
      <c r="I698" s="43"/>
      <c r="J698" s="43"/>
      <c r="K698" s="44"/>
      <c r="L698" s="45"/>
      <c r="M698" s="43"/>
      <c r="N698" s="46"/>
      <c r="O698" s="46"/>
      <c r="P698" s="45"/>
      <c r="Q698" s="45"/>
      <c r="R698" s="45"/>
      <c r="S698" s="43"/>
      <c r="T698" s="43"/>
      <c r="U698" s="43"/>
      <c r="V698" s="43"/>
      <c r="W698" s="43"/>
      <c r="X698" s="43"/>
      <c r="Y698" s="43"/>
      <c r="Z698" s="43"/>
      <c r="AA698" s="43"/>
      <c r="AB698" s="43"/>
      <c r="AC698" s="43"/>
      <c r="AD698" s="43"/>
      <c r="AE698" s="48"/>
      <c r="AF698" s="48"/>
      <c r="AG698" s="48"/>
      <c r="AH698" s="50"/>
    </row>
    <row r="699" spans="8:34" ht="12.5">
      <c r="H699" s="43"/>
      <c r="I699" s="43"/>
      <c r="J699" s="43"/>
      <c r="K699" s="44"/>
      <c r="L699" s="45"/>
      <c r="M699" s="43"/>
      <c r="N699" s="46"/>
      <c r="O699" s="46"/>
      <c r="P699" s="45"/>
      <c r="Q699" s="45"/>
      <c r="R699" s="45"/>
      <c r="S699" s="43"/>
      <c r="T699" s="43"/>
      <c r="U699" s="43"/>
      <c r="V699" s="43"/>
      <c r="W699" s="43"/>
      <c r="X699" s="43"/>
      <c r="Y699" s="43"/>
      <c r="Z699" s="43"/>
      <c r="AA699" s="43"/>
      <c r="AB699" s="43"/>
      <c r="AC699" s="43"/>
      <c r="AD699" s="43"/>
      <c r="AE699" s="48"/>
      <c r="AF699" s="48"/>
      <c r="AG699" s="48"/>
      <c r="AH699" s="50"/>
    </row>
    <row r="700" spans="8:34" ht="12.5">
      <c r="H700" s="43"/>
      <c r="I700" s="43"/>
      <c r="J700" s="43"/>
      <c r="K700" s="44"/>
      <c r="L700" s="45"/>
      <c r="M700" s="43"/>
      <c r="N700" s="46"/>
      <c r="O700" s="46"/>
      <c r="P700" s="45"/>
      <c r="Q700" s="45"/>
      <c r="R700" s="45"/>
      <c r="S700" s="43"/>
      <c r="T700" s="43"/>
      <c r="U700" s="43"/>
      <c r="V700" s="43"/>
      <c r="W700" s="43"/>
      <c r="X700" s="43"/>
      <c r="Y700" s="43"/>
      <c r="Z700" s="43"/>
      <c r="AA700" s="43"/>
      <c r="AB700" s="43"/>
      <c r="AC700" s="43"/>
      <c r="AD700" s="43"/>
      <c r="AE700" s="48"/>
      <c r="AF700" s="48"/>
      <c r="AG700" s="48"/>
      <c r="AH700" s="50"/>
    </row>
    <row r="701" spans="8:34" ht="12.5">
      <c r="H701" s="43"/>
      <c r="I701" s="43"/>
      <c r="J701" s="43"/>
      <c r="K701" s="44"/>
      <c r="L701" s="45"/>
      <c r="M701" s="43"/>
      <c r="N701" s="46"/>
      <c r="O701" s="46"/>
      <c r="P701" s="45"/>
      <c r="Q701" s="45"/>
      <c r="R701" s="45"/>
      <c r="S701" s="43"/>
      <c r="T701" s="43"/>
      <c r="U701" s="43"/>
      <c r="V701" s="43"/>
      <c r="W701" s="43"/>
      <c r="X701" s="43"/>
      <c r="Y701" s="43"/>
      <c r="Z701" s="43"/>
      <c r="AA701" s="43"/>
      <c r="AB701" s="43"/>
      <c r="AC701" s="43"/>
      <c r="AD701" s="43"/>
      <c r="AE701" s="48"/>
      <c r="AF701" s="48"/>
      <c r="AG701" s="48"/>
      <c r="AH701" s="50"/>
    </row>
    <row r="702" spans="8:34" ht="12.5">
      <c r="H702" s="43"/>
      <c r="I702" s="43"/>
      <c r="J702" s="43"/>
      <c r="K702" s="44"/>
      <c r="L702" s="45"/>
      <c r="M702" s="43"/>
      <c r="N702" s="46"/>
      <c r="O702" s="46"/>
      <c r="P702" s="45"/>
      <c r="Q702" s="45"/>
      <c r="R702" s="45"/>
      <c r="S702" s="43"/>
      <c r="T702" s="43"/>
      <c r="U702" s="43"/>
      <c r="V702" s="43"/>
      <c r="W702" s="43"/>
      <c r="X702" s="43"/>
      <c r="Y702" s="43"/>
      <c r="Z702" s="43"/>
      <c r="AA702" s="43"/>
      <c r="AB702" s="43"/>
      <c r="AC702" s="43"/>
      <c r="AD702" s="43"/>
      <c r="AE702" s="48"/>
      <c r="AF702" s="48"/>
      <c r="AG702" s="48"/>
      <c r="AH702" s="50"/>
    </row>
    <row r="703" spans="8:34" ht="12.5">
      <c r="H703" s="43"/>
      <c r="I703" s="43"/>
      <c r="J703" s="43"/>
      <c r="K703" s="44"/>
      <c r="L703" s="45"/>
      <c r="M703" s="43"/>
      <c r="N703" s="46"/>
      <c r="O703" s="46"/>
      <c r="P703" s="45"/>
      <c r="Q703" s="45"/>
      <c r="R703" s="45"/>
      <c r="S703" s="43"/>
      <c r="T703" s="43"/>
      <c r="U703" s="43"/>
      <c r="V703" s="43"/>
      <c r="W703" s="43"/>
      <c r="X703" s="43"/>
      <c r="Y703" s="43"/>
      <c r="Z703" s="43"/>
      <c r="AA703" s="43"/>
      <c r="AB703" s="43"/>
      <c r="AC703" s="43"/>
      <c r="AD703" s="43"/>
      <c r="AE703" s="48"/>
      <c r="AF703" s="48"/>
      <c r="AG703" s="48"/>
      <c r="AH703" s="50"/>
    </row>
    <row r="704" spans="8:34" ht="12.5">
      <c r="H704" s="43"/>
      <c r="I704" s="43"/>
      <c r="J704" s="43"/>
      <c r="K704" s="44"/>
      <c r="L704" s="45"/>
      <c r="M704" s="43"/>
      <c r="N704" s="46"/>
      <c r="O704" s="46"/>
      <c r="P704" s="45"/>
      <c r="Q704" s="45"/>
      <c r="R704" s="45"/>
      <c r="S704" s="43"/>
      <c r="T704" s="43"/>
      <c r="U704" s="43"/>
      <c r="V704" s="43"/>
      <c r="W704" s="43"/>
      <c r="X704" s="43"/>
      <c r="Y704" s="43"/>
      <c r="Z704" s="43"/>
      <c r="AA704" s="43"/>
      <c r="AB704" s="43"/>
      <c r="AC704" s="43"/>
      <c r="AD704" s="43"/>
      <c r="AE704" s="48"/>
      <c r="AF704" s="48"/>
      <c r="AG704" s="48"/>
      <c r="AH704" s="50"/>
    </row>
    <row r="705" spans="8:34" ht="12.5">
      <c r="H705" s="43"/>
      <c r="I705" s="43"/>
      <c r="J705" s="43"/>
      <c r="K705" s="44"/>
      <c r="L705" s="45"/>
      <c r="M705" s="43"/>
      <c r="N705" s="46"/>
      <c r="O705" s="46"/>
      <c r="P705" s="45"/>
      <c r="Q705" s="45"/>
      <c r="R705" s="45"/>
      <c r="S705" s="43"/>
      <c r="T705" s="43"/>
      <c r="U705" s="43"/>
      <c r="V705" s="43"/>
      <c r="W705" s="43"/>
      <c r="X705" s="43"/>
      <c r="Y705" s="43"/>
      <c r="Z705" s="43"/>
      <c r="AA705" s="43"/>
      <c r="AB705" s="43"/>
      <c r="AC705" s="43"/>
      <c r="AD705" s="43"/>
      <c r="AE705" s="48"/>
      <c r="AF705" s="48"/>
      <c r="AG705" s="48"/>
      <c r="AH705" s="50"/>
    </row>
    <row r="706" spans="8:34" ht="12.5">
      <c r="H706" s="43"/>
      <c r="I706" s="43"/>
      <c r="J706" s="43"/>
      <c r="K706" s="44"/>
      <c r="L706" s="45"/>
      <c r="M706" s="43"/>
      <c r="N706" s="46"/>
      <c r="O706" s="46"/>
      <c r="P706" s="45"/>
      <c r="Q706" s="45"/>
      <c r="R706" s="45"/>
      <c r="S706" s="43"/>
      <c r="T706" s="43"/>
      <c r="U706" s="43"/>
      <c r="V706" s="43"/>
      <c r="W706" s="43"/>
      <c r="X706" s="43"/>
      <c r="Y706" s="43"/>
      <c r="Z706" s="43"/>
      <c r="AA706" s="43"/>
      <c r="AB706" s="43"/>
      <c r="AC706" s="43"/>
      <c r="AD706" s="43"/>
      <c r="AE706" s="48"/>
      <c r="AF706" s="48"/>
      <c r="AG706" s="48"/>
      <c r="AH706" s="50"/>
    </row>
    <row r="707" spans="8:34" ht="12.5">
      <c r="H707" s="43"/>
      <c r="I707" s="43"/>
      <c r="J707" s="43"/>
      <c r="K707" s="44"/>
      <c r="L707" s="45"/>
      <c r="M707" s="43"/>
      <c r="N707" s="46"/>
      <c r="O707" s="46"/>
      <c r="P707" s="45"/>
      <c r="Q707" s="45"/>
      <c r="R707" s="45"/>
      <c r="S707" s="43"/>
      <c r="T707" s="43"/>
      <c r="U707" s="43"/>
      <c r="V707" s="43"/>
      <c r="W707" s="43"/>
      <c r="X707" s="43"/>
      <c r="Y707" s="43"/>
      <c r="Z707" s="43"/>
      <c r="AA707" s="43"/>
      <c r="AB707" s="43"/>
      <c r="AC707" s="43"/>
      <c r="AD707" s="43"/>
      <c r="AE707" s="48"/>
      <c r="AF707" s="48"/>
      <c r="AG707" s="48"/>
      <c r="AH707" s="50"/>
    </row>
    <row r="708" spans="8:34" ht="12.5">
      <c r="H708" s="43"/>
      <c r="I708" s="43"/>
      <c r="J708" s="43"/>
      <c r="K708" s="44"/>
      <c r="L708" s="45"/>
      <c r="M708" s="43"/>
      <c r="N708" s="46"/>
      <c r="O708" s="46"/>
      <c r="P708" s="45"/>
      <c r="Q708" s="45"/>
      <c r="R708" s="45"/>
      <c r="S708" s="43"/>
      <c r="T708" s="43"/>
      <c r="U708" s="43"/>
      <c r="V708" s="43"/>
      <c r="W708" s="43"/>
      <c r="X708" s="43"/>
      <c r="Y708" s="43"/>
      <c r="Z708" s="43"/>
      <c r="AA708" s="43"/>
      <c r="AB708" s="43"/>
      <c r="AC708" s="43"/>
      <c r="AD708" s="43"/>
      <c r="AE708" s="48"/>
      <c r="AF708" s="48"/>
      <c r="AG708" s="48"/>
      <c r="AH708" s="50"/>
    </row>
    <row r="709" spans="8:34" ht="12.5">
      <c r="H709" s="43"/>
      <c r="I709" s="43"/>
      <c r="J709" s="43"/>
      <c r="K709" s="44"/>
      <c r="L709" s="45"/>
      <c r="M709" s="43"/>
      <c r="N709" s="46"/>
      <c r="O709" s="46"/>
      <c r="P709" s="45"/>
      <c r="Q709" s="45"/>
      <c r="R709" s="45"/>
      <c r="S709" s="43"/>
      <c r="T709" s="43"/>
      <c r="U709" s="43"/>
      <c r="V709" s="43"/>
      <c r="W709" s="43"/>
      <c r="X709" s="43"/>
      <c r="Y709" s="43"/>
      <c r="Z709" s="43"/>
      <c r="AA709" s="43"/>
      <c r="AB709" s="43"/>
      <c r="AC709" s="43"/>
      <c r="AD709" s="43"/>
      <c r="AE709" s="48"/>
      <c r="AF709" s="48"/>
      <c r="AG709" s="48"/>
      <c r="AH709" s="50"/>
    </row>
    <row r="710" spans="8:34" ht="12.5">
      <c r="H710" s="43"/>
      <c r="I710" s="43"/>
      <c r="J710" s="43"/>
      <c r="K710" s="44"/>
      <c r="L710" s="45"/>
      <c r="M710" s="43"/>
      <c r="N710" s="46"/>
      <c r="O710" s="46"/>
      <c r="P710" s="45"/>
      <c r="Q710" s="45"/>
      <c r="R710" s="45"/>
      <c r="S710" s="43"/>
      <c r="T710" s="43"/>
      <c r="U710" s="43"/>
      <c r="V710" s="43"/>
      <c r="W710" s="43"/>
      <c r="X710" s="43"/>
      <c r="Y710" s="43"/>
      <c r="Z710" s="43"/>
      <c r="AA710" s="43"/>
      <c r="AB710" s="43"/>
      <c r="AC710" s="43"/>
      <c r="AD710" s="43"/>
      <c r="AE710" s="48"/>
      <c r="AF710" s="48"/>
      <c r="AG710" s="48"/>
      <c r="AH710" s="50"/>
    </row>
    <row r="711" spans="8:34" ht="12.5">
      <c r="H711" s="43"/>
      <c r="I711" s="43"/>
      <c r="J711" s="43"/>
      <c r="K711" s="44"/>
      <c r="L711" s="45"/>
      <c r="M711" s="43"/>
      <c r="N711" s="46"/>
      <c r="O711" s="46"/>
      <c r="P711" s="45"/>
      <c r="Q711" s="45"/>
      <c r="R711" s="45"/>
      <c r="S711" s="43"/>
      <c r="T711" s="43"/>
      <c r="U711" s="43"/>
      <c r="V711" s="43"/>
      <c r="W711" s="43"/>
      <c r="X711" s="43"/>
      <c r="Y711" s="43"/>
      <c r="Z711" s="43"/>
      <c r="AA711" s="43"/>
      <c r="AB711" s="43"/>
      <c r="AC711" s="43"/>
      <c r="AD711" s="43"/>
      <c r="AE711" s="48"/>
      <c r="AF711" s="48"/>
      <c r="AG711" s="48"/>
      <c r="AH711" s="50"/>
    </row>
    <row r="712" spans="8:34" ht="12.5">
      <c r="H712" s="43"/>
      <c r="I712" s="43"/>
      <c r="J712" s="43"/>
      <c r="K712" s="44"/>
      <c r="L712" s="45"/>
      <c r="M712" s="43"/>
      <c r="N712" s="46"/>
      <c r="O712" s="46"/>
      <c r="P712" s="45"/>
      <c r="Q712" s="45"/>
      <c r="R712" s="45"/>
      <c r="S712" s="43"/>
      <c r="T712" s="43"/>
      <c r="U712" s="43"/>
      <c r="V712" s="43"/>
      <c r="W712" s="43"/>
      <c r="X712" s="43"/>
      <c r="Y712" s="43"/>
      <c r="Z712" s="43"/>
      <c r="AA712" s="43"/>
      <c r="AB712" s="43"/>
      <c r="AC712" s="43"/>
      <c r="AD712" s="43"/>
      <c r="AE712" s="48"/>
      <c r="AF712" s="48"/>
      <c r="AG712" s="48"/>
      <c r="AH712" s="50"/>
    </row>
    <row r="713" spans="8:34" ht="12.5">
      <c r="H713" s="43"/>
      <c r="I713" s="43"/>
      <c r="J713" s="43"/>
      <c r="K713" s="44"/>
      <c r="L713" s="45"/>
      <c r="M713" s="43"/>
      <c r="N713" s="46"/>
      <c r="O713" s="46"/>
      <c r="P713" s="45"/>
      <c r="Q713" s="45"/>
      <c r="R713" s="45"/>
      <c r="S713" s="43"/>
      <c r="T713" s="43"/>
      <c r="U713" s="43"/>
      <c r="V713" s="43"/>
      <c r="W713" s="43"/>
      <c r="X713" s="43"/>
      <c r="Y713" s="43"/>
      <c r="Z713" s="43"/>
      <c r="AA713" s="43"/>
      <c r="AB713" s="43"/>
      <c r="AC713" s="43"/>
      <c r="AD713" s="43"/>
      <c r="AE713" s="48"/>
      <c r="AF713" s="48"/>
      <c r="AG713" s="48"/>
      <c r="AH713" s="50"/>
    </row>
    <row r="714" spans="8:34" ht="12.5">
      <c r="H714" s="43"/>
      <c r="I714" s="43"/>
      <c r="J714" s="43"/>
      <c r="K714" s="44"/>
      <c r="L714" s="45"/>
      <c r="M714" s="43"/>
      <c r="N714" s="46"/>
      <c r="O714" s="46"/>
      <c r="P714" s="45"/>
      <c r="Q714" s="45"/>
      <c r="R714" s="45"/>
      <c r="S714" s="43"/>
      <c r="T714" s="43"/>
      <c r="U714" s="43"/>
      <c r="V714" s="43"/>
      <c r="W714" s="43"/>
      <c r="X714" s="43"/>
      <c r="Y714" s="43"/>
      <c r="Z714" s="43"/>
      <c r="AA714" s="43"/>
      <c r="AB714" s="43"/>
      <c r="AC714" s="43"/>
      <c r="AD714" s="43"/>
      <c r="AE714" s="48"/>
      <c r="AF714" s="48"/>
      <c r="AG714" s="48"/>
      <c r="AH714" s="50"/>
    </row>
    <row r="715" spans="8:34" ht="12.5">
      <c r="H715" s="43"/>
      <c r="I715" s="43"/>
      <c r="J715" s="43"/>
      <c r="K715" s="44"/>
      <c r="L715" s="45"/>
      <c r="M715" s="43"/>
      <c r="N715" s="46"/>
      <c r="O715" s="46"/>
      <c r="P715" s="45"/>
      <c r="Q715" s="45"/>
      <c r="R715" s="45"/>
      <c r="S715" s="43"/>
      <c r="T715" s="43"/>
      <c r="U715" s="43"/>
      <c r="V715" s="43"/>
      <c r="W715" s="43"/>
      <c r="X715" s="43"/>
      <c r="Y715" s="43"/>
      <c r="Z715" s="43"/>
      <c r="AA715" s="43"/>
      <c r="AB715" s="43"/>
      <c r="AC715" s="43"/>
      <c r="AD715" s="43"/>
      <c r="AE715" s="48"/>
      <c r="AF715" s="48"/>
      <c r="AG715" s="48"/>
      <c r="AH715" s="50"/>
    </row>
    <row r="716" spans="8:34" ht="12.5">
      <c r="H716" s="43"/>
      <c r="I716" s="43"/>
      <c r="J716" s="43"/>
      <c r="K716" s="44"/>
      <c r="L716" s="45"/>
      <c r="M716" s="43"/>
      <c r="N716" s="46"/>
      <c r="O716" s="46"/>
      <c r="P716" s="45"/>
      <c r="Q716" s="45"/>
      <c r="R716" s="45"/>
      <c r="S716" s="43"/>
      <c r="T716" s="43"/>
      <c r="U716" s="43"/>
      <c r="V716" s="43"/>
      <c r="W716" s="43"/>
      <c r="X716" s="43"/>
      <c r="Y716" s="43"/>
      <c r="Z716" s="43"/>
      <c r="AA716" s="43"/>
      <c r="AB716" s="43"/>
      <c r="AC716" s="43"/>
      <c r="AD716" s="43"/>
      <c r="AE716" s="48"/>
      <c r="AF716" s="48"/>
      <c r="AG716" s="48"/>
      <c r="AH716" s="50"/>
    </row>
    <row r="717" spans="8:34" ht="12.5">
      <c r="H717" s="43"/>
      <c r="I717" s="43"/>
      <c r="J717" s="43"/>
      <c r="K717" s="44"/>
      <c r="L717" s="45"/>
      <c r="M717" s="43"/>
      <c r="N717" s="46"/>
      <c r="O717" s="46"/>
      <c r="P717" s="45"/>
      <c r="Q717" s="45"/>
      <c r="R717" s="45"/>
      <c r="S717" s="43"/>
      <c r="T717" s="43"/>
      <c r="U717" s="43"/>
      <c r="V717" s="43"/>
      <c r="W717" s="43"/>
      <c r="X717" s="43"/>
      <c r="Y717" s="43"/>
      <c r="Z717" s="43"/>
      <c r="AA717" s="43"/>
      <c r="AB717" s="43"/>
      <c r="AC717" s="43"/>
      <c r="AD717" s="43"/>
      <c r="AE717" s="48"/>
      <c r="AF717" s="48"/>
      <c r="AG717" s="48"/>
      <c r="AH717" s="50"/>
    </row>
    <row r="718" spans="8:34" ht="12.5">
      <c r="H718" s="43"/>
      <c r="I718" s="43"/>
      <c r="J718" s="43"/>
      <c r="K718" s="44"/>
      <c r="L718" s="45"/>
      <c r="M718" s="43"/>
      <c r="N718" s="46"/>
      <c r="O718" s="46"/>
      <c r="P718" s="45"/>
      <c r="Q718" s="45"/>
      <c r="R718" s="45"/>
      <c r="S718" s="43"/>
      <c r="T718" s="43"/>
      <c r="U718" s="43"/>
      <c r="V718" s="43"/>
      <c r="W718" s="43"/>
      <c r="X718" s="43"/>
      <c r="Y718" s="43"/>
      <c r="Z718" s="43"/>
      <c r="AA718" s="43"/>
      <c r="AB718" s="43"/>
      <c r="AC718" s="43"/>
      <c r="AD718" s="43"/>
      <c r="AE718" s="48"/>
      <c r="AF718" s="48"/>
      <c r="AG718" s="48"/>
      <c r="AH718" s="50"/>
    </row>
    <row r="719" spans="8:34" ht="12.5">
      <c r="H719" s="43"/>
      <c r="I719" s="43"/>
      <c r="J719" s="43"/>
      <c r="K719" s="44"/>
      <c r="L719" s="45"/>
      <c r="M719" s="43"/>
      <c r="N719" s="46"/>
      <c r="O719" s="46"/>
      <c r="P719" s="45"/>
      <c r="Q719" s="45"/>
      <c r="R719" s="45"/>
      <c r="S719" s="43"/>
      <c r="T719" s="43"/>
      <c r="U719" s="43"/>
      <c r="V719" s="43"/>
      <c r="W719" s="43"/>
      <c r="X719" s="43"/>
      <c r="Y719" s="43"/>
      <c r="Z719" s="43"/>
      <c r="AA719" s="43"/>
      <c r="AB719" s="43"/>
      <c r="AC719" s="43"/>
      <c r="AD719" s="43"/>
      <c r="AE719" s="48"/>
      <c r="AF719" s="48"/>
      <c r="AG719" s="48"/>
      <c r="AH719" s="50"/>
    </row>
    <row r="720" spans="8:34" ht="12.5">
      <c r="H720" s="43"/>
      <c r="I720" s="43"/>
      <c r="J720" s="43"/>
      <c r="K720" s="44"/>
      <c r="L720" s="45"/>
      <c r="M720" s="43"/>
      <c r="N720" s="46"/>
      <c r="O720" s="46"/>
      <c r="P720" s="45"/>
      <c r="Q720" s="45"/>
      <c r="R720" s="45"/>
      <c r="S720" s="43"/>
      <c r="T720" s="43"/>
      <c r="U720" s="43"/>
      <c r="V720" s="43"/>
      <c r="W720" s="43"/>
      <c r="X720" s="43"/>
      <c r="Y720" s="43"/>
      <c r="Z720" s="43"/>
      <c r="AA720" s="43"/>
      <c r="AB720" s="43"/>
      <c r="AC720" s="43"/>
      <c r="AD720" s="43"/>
      <c r="AE720" s="48"/>
      <c r="AF720" s="48"/>
      <c r="AG720" s="48"/>
      <c r="AH720" s="50"/>
    </row>
    <row r="721" spans="8:34" ht="12.5">
      <c r="H721" s="43"/>
      <c r="I721" s="43"/>
      <c r="J721" s="43"/>
      <c r="K721" s="44"/>
      <c r="L721" s="45"/>
      <c r="M721" s="43"/>
      <c r="N721" s="46"/>
      <c r="O721" s="46"/>
      <c r="P721" s="45"/>
      <c r="Q721" s="45"/>
      <c r="R721" s="45"/>
      <c r="S721" s="43"/>
      <c r="T721" s="43"/>
      <c r="U721" s="43"/>
      <c r="V721" s="43"/>
      <c r="W721" s="43"/>
      <c r="X721" s="43"/>
      <c r="Y721" s="43"/>
      <c r="Z721" s="43"/>
      <c r="AA721" s="43"/>
      <c r="AB721" s="43"/>
      <c r="AC721" s="43"/>
      <c r="AD721" s="43"/>
      <c r="AE721" s="48"/>
      <c r="AF721" s="48"/>
      <c r="AG721" s="48"/>
      <c r="AH721" s="50"/>
    </row>
    <row r="722" spans="8:34" ht="12.5">
      <c r="H722" s="43"/>
      <c r="I722" s="43"/>
      <c r="J722" s="43"/>
      <c r="K722" s="44"/>
      <c r="L722" s="45"/>
      <c r="M722" s="43"/>
      <c r="N722" s="46"/>
      <c r="O722" s="46"/>
      <c r="P722" s="45"/>
      <c r="Q722" s="45"/>
      <c r="R722" s="45"/>
      <c r="S722" s="43"/>
      <c r="T722" s="43"/>
      <c r="U722" s="43"/>
      <c r="V722" s="43"/>
      <c r="W722" s="43"/>
      <c r="X722" s="43"/>
      <c r="Y722" s="43"/>
      <c r="Z722" s="43"/>
      <c r="AA722" s="43"/>
      <c r="AB722" s="43"/>
      <c r="AC722" s="43"/>
      <c r="AD722" s="43"/>
      <c r="AE722" s="48"/>
      <c r="AF722" s="48"/>
      <c r="AG722" s="48"/>
      <c r="AH722" s="50"/>
    </row>
    <row r="723" spans="8:34" ht="12.5">
      <c r="H723" s="43"/>
      <c r="I723" s="43"/>
      <c r="J723" s="43"/>
      <c r="K723" s="44"/>
      <c r="L723" s="45"/>
      <c r="M723" s="43"/>
      <c r="N723" s="46"/>
      <c r="O723" s="46"/>
      <c r="P723" s="45"/>
      <c r="Q723" s="45"/>
      <c r="R723" s="45"/>
      <c r="S723" s="43"/>
      <c r="T723" s="43"/>
      <c r="U723" s="43"/>
      <c r="V723" s="43"/>
      <c r="W723" s="43"/>
      <c r="X723" s="43"/>
      <c r="Y723" s="43"/>
      <c r="Z723" s="43"/>
      <c r="AA723" s="43"/>
      <c r="AB723" s="43"/>
      <c r="AC723" s="43"/>
      <c r="AD723" s="43"/>
      <c r="AE723" s="48"/>
      <c r="AF723" s="48"/>
      <c r="AG723" s="48"/>
      <c r="AH723" s="50"/>
    </row>
    <row r="724" spans="8:34" ht="12.5">
      <c r="H724" s="43"/>
      <c r="I724" s="43"/>
      <c r="J724" s="43"/>
      <c r="K724" s="44"/>
      <c r="L724" s="45"/>
      <c r="M724" s="43"/>
      <c r="N724" s="46"/>
      <c r="O724" s="46"/>
      <c r="P724" s="45"/>
      <c r="Q724" s="45"/>
      <c r="R724" s="45"/>
      <c r="S724" s="43"/>
      <c r="T724" s="43"/>
      <c r="U724" s="43"/>
      <c r="V724" s="43"/>
      <c r="W724" s="43"/>
      <c r="X724" s="43"/>
      <c r="Y724" s="43"/>
      <c r="Z724" s="43"/>
      <c r="AA724" s="43"/>
      <c r="AB724" s="43"/>
      <c r="AC724" s="43"/>
      <c r="AD724" s="43"/>
      <c r="AE724" s="48"/>
      <c r="AF724" s="48"/>
      <c r="AG724" s="48"/>
      <c r="AH724" s="50"/>
    </row>
    <row r="725" spans="8:34" ht="12.5">
      <c r="H725" s="43"/>
      <c r="I725" s="43"/>
      <c r="J725" s="43"/>
      <c r="K725" s="44"/>
      <c r="L725" s="45"/>
      <c r="M725" s="43"/>
      <c r="N725" s="46"/>
      <c r="O725" s="46"/>
      <c r="P725" s="45"/>
      <c r="Q725" s="45"/>
      <c r="R725" s="45"/>
      <c r="S725" s="43"/>
      <c r="T725" s="43"/>
      <c r="U725" s="43"/>
      <c r="V725" s="43"/>
      <c r="W725" s="43"/>
      <c r="X725" s="43"/>
      <c r="Y725" s="43"/>
      <c r="Z725" s="43"/>
      <c r="AA725" s="43"/>
      <c r="AB725" s="43"/>
      <c r="AC725" s="43"/>
      <c r="AD725" s="43"/>
      <c r="AE725" s="48"/>
      <c r="AF725" s="48"/>
      <c r="AG725" s="48"/>
      <c r="AH725" s="50"/>
    </row>
    <row r="726" spans="8:34" ht="12.5">
      <c r="H726" s="43"/>
      <c r="I726" s="43"/>
      <c r="J726" s="43"/>
      <c r="K726" s="44"/>
      <c r="L726" s="45"/>
      <c r="M726" s="43"/>
      <c r="N726" s="46"/>
      <c r="O726" s="46"/>
      <c r="P726" s="45"/>
      <c r="Q726" s="45"/>
      <c r="R726" s="45"/>
      <c r="S726" s="43"/>
      <c r="T726" s="43"/>
      <c r="U726" s="43"/>
      <c r="V726" s="43"/>
      <c r="W726" s="43"/>
      <c r="X726" s="43"/>
      <c r="Y726" s="43"/>
      <c r="Z726" s="43"/>
      <c r="AA726" s="43"/>
      <c r="AB726" s="43"/>
      <c r="AC726" s="43"/>
      <c r="AD726" s="43"/>
      <c r="AE726" s="48"/>
      <c r="AF726" s="48"/>
      <c r="AG726" s="48"/>
      <c r="AH726" s="50"/>
    </row>
    <row r="727" spans="8:34" ht="12.5">
      <c r="H727" s="43"/>
      <c r="I727" s="43"/>
      <c r="J727" s="43"/>
      <c r="K727" s="44"/>
      <c r="L727" s="45"/>
      <c r="M727" s="43"/>
      <c r="N727" s="46"/>
      <c r="O727" s="46"/>
      <c r="P727" s="45"/>
      <c r="Q727" s="45"/>
      <c r="R727" s="45"/>
      <c r="S727" s="43"/>
      <c r="T727" s="43"/>
      <c r="U727" s="43"/>
      <c r="V727" s="43"/>
      <c r="W727" s="43"/>
      <c r="X727" s="43"/>
      <c r="Y727" s="43"/>
      <c r="Z727" s="43"/>
      <c r="AA727" s="43"/>
      <c r="AB727" s="43"/>
      <c r="AC727" s="43"/>
      <c r="AD727" s="43"/>
      <c r="AE727" s="48"/>
      <c r="AF727" s="48"/>
      <c r="AG727" s="48"/>
      <c r="AH727" s="50"/>
    </row>
    <row r="728" spans="8:34" ht="12.5">
      <c r="H728" s="43"/>
      <c r="I728" s="43"/>
      <c r="J728" s="43"/>
      <c r="K728" s="44"/>
      <c r="L728" s="45"/>
      <c r="M728" s="43"/>
      <c r="N728" s="46"/>
      <c r="O728" s="46"/>
      <c r="P728" s="45"/>
      <c r="Q728" s="45"/>
      <c r="R728" s="45"/>
      <c r="S728" s="43"/>
      <c r="T728" s="43"/>
      <c r="U728" s="43"/>
      <c r="V728" s="43"/>
      <c r="W728" s="43"/>
      <c r="X728" s="43"/>
      <c r="Y728" s="43"/>
      <c r="Z728" s="43"/>
      <c r="AA728" s="43"/>
      <c r="AB728" s="43"/>
      <c r="AC728" s="43"/>
      <c r="AD728" s="43"/>
      <c r="AE728" s="48"/>
      <c r="AF728" s="48"/>
      <c r="AG728" s="48"/>
      <c r="AH728" s="50"/>
    </row>
    <row r="729" spans="8:34" ht="12.5">
      <c r="H729" s="43"/>
      <c r="I729" s="43"/>
      <c r="J729" s="43"/>
      <c r="K729" s="44"/>
      <c r="L729" s="45"/>
      <c r="M729" s="43"/>
      <c r="N729" s="46"/>
      <c r="O729" s="46"/>
      <c r="P729" s="45"/>
      <c r="Q729" s="45"/>
      <c r="R729" s="45"/>
      <c r="S729" s="43"/>
      <c r="T729" s="43"/>
      <c r="U729" s="43"/>
      <c r="V729" s="43"/>
      <c r="W729" s="43"/>
      <c r="X729" s="43"/>
      <c r="Y729" s="43"/>
      <c r="Z729" s="43"/>
      <c r="AA729" s="43"/>
      <c r="AB729" s="43"/>
      <c r="AC729" s="43"/>
      <c r="AD729" s="43"/>
      <c r="AE729" s="48"/>
      <c r="AF729" s="48"/>
      <c r="AG729" s="48"/>
      <c r="AH729" s="50"/>
    </row>
    <row r="730" spans="8:34" ht="12.5">
      <c r="H730" s="43"/>
      <c r="I730" s="43"/>
      <c r="J730" s="43"/>
      <c r="K730" s="44"/>
      <c r="L730" s="45"/>
      <c r="M730" s="43"/>
      <c r="N730" s="46"/>
      <c r="O730" s="46"/>
      <c r="P730" s="45"/>
      <c r="Q730" s="45"/>
      <c r="R730" s="45"/>
      <c r="S730" s="43"/>
      <c r="T730" s="43"/>
      <c r="U730" s="43"/>
      <c r="V730" s="43"/>
      <c r="W730" s="43"/>
      <c r="X730" s="43"/>
      <c r="Y730" s="43"/>
      <c r="Z730" s="43"/>
      <c r="AA730" s="43"/>
      <c r="AB730" s="43"/>
      <c r="AC730" s="43"/>
      <c r="AD730" s="43"/>
      <c r="AE730" s="48"/>
      <c r="AF730" s="48"/>
      <c r="AG730" s="48"/>
      <c r="AH730" s="50"/>
    </row>
    <row r="731" spans="8:34" ht="12.5">
      <c r="H731" s="43"/>
      <c r="I731" s="43"/>
      <c r="J731" s="43"/>
      <c r="K731" s="44"/>
      <c r="L731" s="45"/>
      <c r="M731" s="43"/>
      <c r="N731" s="46"/>
      <c r="O731" s="46"/>
      <c r="P731" s="45"/>
      <c r="Q731" s="45"/>
      <c r="R731" s="45"/>
      <c r="S731" s="43"/>
      <c r="T731" s="43"/>
      <c r="U731" s="43"/>
      <c r="V731" s="43"/>
      <c r="W731" s="43"/>
      <c r="X731" s="43"/>
      <c r="Y731" s="43"/>
      <c r="Z731" s="43"/>
      <c r="AA731" s="43"/>
      <c r="AB731" s="43"/>
      <c r="AC731" s="43"/>
      <c r="AD731" s="43"/>
      <c r="AE731" s="48"/>
      <c r="AF731" s="48"/>
      <c r="AG731" s="48"/>
      <c r="AH731" s="50"/>
    </row>
    <row r="732" spans="8:34" ht="12.5">
      <c r="H732" s="43"/>
      <c r="I732" s="43"/>
      <c r="J732" s="43"/>
      <c r="K732" s="44"/>
      <c r="L732" s="45"/>
      <c r="M732" s="43"/>
      <c r="N732" s="46"/>
      <c r="O732" s="46"/>
      <c r="P732" s="45"/>
      <c r="Q732" s="45"/>
      <c r="R732" s="45"/>
      <c r="S732" s="43"/>
      <c r="T732" s="43"/>
      <c r="U732" s="43"/>
      <c r="V732" s="43"/>
      <c r="W732" s="43"/>
      <c r="X732" s="43"/>
      <c r="Y732" s="43"/>
      <c r="Z732" s="43"/>
      <c r="AA732" s="43"/>
      <c r="AB732" s="43"/>
      <c r="AC732" s="43"/>
      <c r="AD732" s="43"/>
      <c r="AE732" s="48"/>
      <c r="AF732" s="48"/>
      <c r="AG732" s="48"/>
      <c r="AH732" s="50"/>
    </row>
    <row r="733" spans="8:34" ht="12.5">
      <c r="H733" s="43"/>
      <c r="I733" s="43"/>
      <c r="J733" s="43"/>
      <c r="K733" s="44"/>
      <c r="L733" s="45"/>
      <c r="M733" s="43"/>
      <c r="N733" s="46"/>
      <c r="O733" s="46"/>
      <c r="P733" s="45"/>
      <c r="Q733" s="45"/>
      <c r="R733" s="45"/>
      <c r="S733" s="43"/>
      <c r="T733" s="43"/>
      <c r="U733" s="43"/>
      <c r="V733" s="43"/>
      <c r="W733" s="43"/>
      <c r="X733" s="43"/>
      <c r="Y733" s="43"/>
      <c r="Z733" s="43"/>
      <c r="AA733" s="43"/>
      <c r="AB733" s="43"/>
      <c r="AC733" s="43"/>
      <c r="AD733" s="43"/>
      <c r="AE733" s="48"/>
      <c r="AF733" s="48"/>
      <c r="AG733" s="48"/>
      <c r="AH733" s="50"/>
    </row>
    <row r="734" spans="8:34" ht="12.5">
      <c r="H734" s="43"/>
      <c r="I734" s="43"/>
      <c r="J734" s="43"/>
      <c r="K734" s="44"/>
      <c r="L734" s="45"/>
      <c r="M734" s="43"/>
      <c r="N734" s="46"/>
      <c r="O734" s="46"/>
      <c r="P734" s="45"/>
      <c r="Q734" s="45"/>
      <c r="R734" s="45"/>
      <c r="S734" s="43"/>
      <c r="T734" s="43"/>
      <c r="U734" s="43"/>
      <c r="V734" s="43"/>
      <c r="W734" s="43"/>
      <c r="X734" s="43"/>
      <c r="Y734" s="43"/>
      <c r="Z734" s="43"/>
      <c r="AA734" s="43"/>
      <c r="AB734" s="43"/>
      <c r="AC734" s="43"/>
      <c r="AD734" s="43"/>
      <c r="AE734" s="48"/>
      <c r="AF734" s="48"/>
      <c r="AG734" s="48"/>
      <c r="AH734" s="50"/>
    </row>
    <row r="735" spans="8:34" ht="12.5">
      <c r="H735" s="43"/>
      <c r="I735" s="43"/>
      <c r="J735" s="43"/>
      <c r="K735" s="44"/>
      <c r="L735" s="45"/>
      <c r="M735" s="43"/>
      <c r="N735" s="46"/>
      <c r="O735" s="46"/>
      <c r="P735" s="45"/>
      <c r="Q735" s="45"/>
      <c r="R735" s="45"/>
      <c r="S735" s="43"/>
      <c r="T735" s="43"/>
      <c r="U735" s="43"/>
      <c r="V735" s="43"/>
      <c r="W735" s="43"/>
      <c r="X735" s="43"/>
      <c r="Y735" s="43"/>
      <c r="Z735" s="43"/>
      <c r="AA735" s="43"/>
      <c r="AB735" s="43"/>
      <c r="AC735" s="43"/>
      <c r="AD735" s="43"/>
      <c r="AE735" s="48"/>
      <c r="AF735" s="48"/>
      <c r="AG735" s="48"/>
      <c r="AH735" s="50"/>
    </row>
    <row r="736" spans="8:34" ht="12.5">
      <c r="H736" s="43"/>
      <c r="I736" s="43"/>
      <c r="J736" s="43"/>
      <c r="K736" s="44"/>
      <c r="L736" s="45"/>
      <c r="M736" s="43"/>
      <c r="N736" s="46"/>
      <c r="O736" s="46"/>
      <c r="P736" s="45"/>
      <c r="Q736" s="45"/>
      <c r="R736" s="45"/>
      <c r="S736" s="43"/>
      <c r="T736" s="43"/>
      <c r="U736" s="43"/>
      <c r="V736" s="43"/>
      <c r="W736" s="43"/>
      <c r="X736" s="43"/>
      <c r="Y736" s="43"/>
      <c r="Z736" s="43"/>
      <c r="AA736" s="43"/>
      <c r="AB736" s="43"/>
      <c r="AC736" s="43"/>
      <c r="AD736" s="43"/>
      <c r="AE736" s="48"/>
      <c r="AF736" s="48"/>
      <c r="AG736" s="48"/>
      <c r="AH736" s="50"/>
    </row>
    <row r="737" spans="8:34" ht="12.5">
      <c r="H737" s="43"/>
      <c r="I737" s="43"/>
      <c r="J737" s="43"/>
      <c r="K737" s="44"/>
      <c r="L737" s="45"/>
      <c r="M737" s="43"/>
      <c r="N737" s="46"/>
      <c r="O737" s="46"/>
      <c r="P737" s="45"/>
      <c r="Q737" s="45"/>
      <c r="R737" s="45"/>
      <c r="S737" s="43"/>
      <c r="T737" s="43"/>
      <c r="U737" s="43"/>
      <c r="V737" s="43"/>
      <c r="W737" s="43"/>
      <c r="X737" s="43"/>
      <c r="Y737" s="43"/>
      <c r="Z737" s="43"/>
      <c r="AA737" s="43"/>
      <c r="AB737" s="43"/>
      <c r="AC737" s="43"/>
      <c r="AD737" s="43"/>
      <c r="AE737" s="48"/>
      <c r="AF737" s="48"/>
      <c r="AG737" s="48"/>
      <c r="AH737" s="50"/>
    </row>
    <row r="738" spans="8:34" ht="12.5">
      <c r="H738" s="43"/>
      <c r="I738" s="43"/>
      <c r="J738" s="43"/>
      <c r="K738" s="44"/>
      <c r="L738" s="45"/>
      <c r="M738" s="43"/>
      <c r="N738" s="46"/>
      <c r="O738" s="46"/>
      <c r="P738" s="45"/>
      <c r="Q738" s="45"/>
      <c r="R738" s="45"/>
      <c r="S738" s="43"/>
      <c r="T738" s="43"/>
      <c r="U738" s="43"/>
      <c r="V738" s="43"/>
      <c r="W738" s="43"/>
      <c r="X738" s="43"/>
      <c r="Y738" s="43"/>
      <c r="Z738" s="43"/>
      <c r="AA738" s="43"/>
      <c r="AB738" s="43"/>
      <c r="AC738" s="43"/>
      <c r="AD738" s="43"/>
      <c r="AE738" s="48"/>
      <c r="AF738" s="48"/>
      <c r="AG738" s="48"/>
      <c r="AH738" s="50"/>
    </row>
    <row r="739" spans="8:34" ht="12.5">
      <c r="H739" s="43"/>
      <c r="I739" s="43"/>
      <c r="J739" s="43"/>
      <c r="K739" s="44"/>
      <c r="L739" s="45"/>
      <c r="M739" s="43"/>
      <c r="N739" s="46"/>
      <c r="O739" s="46"/>
      <c r="P739" s="45"/>
      <c r="Q739" s="45"/>
      <c r="R739" s="45"/>
      <c r="S739" s="43"/>
      <c r="T739" s="43"/>
      <c r="U739" s="43"/>
      <c r="V739" s="43"/>
      <c r="W739" s="43"/>
      <c r="X739" s="43"/>
      <c r="Y739" s="43"/>
      <c r="Z739" s="43"/>
      <c r="AA739" s="43"/>
      <c r="AB739" s="43"/>
      <c r="AC739" s="43"/>
      <c r="AD739" s="43"/>
      <c r="AE739" s="48"/>
      <c r="AF739" s="48"/>
      <c r="AG739" s="48"/>
      <c r="AH739" s="50"/>
    </row>
    <row r="740" spans="8:34" ht="12.5">
      <c r="H740" s="43"/>
      <c r="I740" s="43"/>
      <c r="J740" s="43"/>
      <c r="K740" s="44"/>
      <c r="L740" s="45"/>
      <c r="M740" s="43"/>
      <c r="N740" s="46"/>
      <c r="O740" s="46"/>
      <c r="P740" s="45"/>
      <c r="Q740" s="45"/>
      <c r="R740" s="45"/>
      <c r="S740" s="43"/>
      <c r="T740" s="43"/>
      <c r="U740" s="43"/>
      <c r="V740" s="43"/>
      <c r="W740" s="43"/>
      <c r="X740" s="43"/>
      <c r="Y740" s="43"/>
      <c r="Z740" s="43"/>
      <c r="AA740" s="43"/>
      <c r="AB740" s="43"/>
      <c r="AC740" s="43"/>
      <c r="AD740" s="43"/>
      <c r="AE740" s="48"/>
      <c r="AF740" s="48"/>
      <c r="AG740" s="48"/>
      <c r="AH740" s="50"/>
    </row>
    <row r="741" spans="8:34" ht="12.5">
      <c r="H741" s="43"/>
      <c r="I741" s="43"/>
      <c r="J741" s="43"/>
      <c r="K741" s="44"/>
      <c r="L741" s="45"/>
      <c r="M741" s="43"/>
      <c r="N741" s="46"/>
      <c r="O741" s="46"/>
      <c r="P741" s="45"/>
      <c r="Q741" s="45"/>
      <c r="R741" s="45"/>
      <c r="S741" s="43"/>
      <c r="T741" s="43"/>
      <c r="U741" s="43"/>
      <c r="V741" s="43"/>
      <c r="W741" s="43"/>
      <c r="X741" s="43"/>
      <c r="Y741" s="43"/>
      <c r="Z741" s="43"/>
      <c r="AA741" s="43"/>
      <c r="AB741" s="43"/>
      <c r="AC741" s="43"/>
      <c r="AD741" s="43"/>
      <c r="AE741" s="48"/>
      <c r="AF741" s="48"/>
      <c r="AG741" s="48"/>
      <c r="AH741" s="50"/>
    </row>
    <row r="742" spans="8:34" ht="12.5">
      <c r="H742" s="43"/>
      <c r="I742" s="43"/>
      <c r="J742" s="43"/>
      <c r="K742" s="44"/>
      <c r="L742" s="45"/>
      <c r="M742" s="43"/>
      <c r="N742" s="46"/>
      <c r="O742" s="46"/>
      <c r="P742" s="45"/>
      <c r="Q742" s="45"/>
      <c r="R742" s="45"/>
      <c r="S742" s="43"/>
      <c r="T742" s="43"/>
      <c r="U742" s="43"/>
      <c r="V742" s="43"/>
      <c r="W742" s="43"/>
      <c r="X742" s="43"/>
      <c r="Y742" s="43"/>
      <c r="Z742" s="43"/>
      <c r="AA742" s="43"/>
      <c r="AB742" s="43"/>
      <c r="AC742" s="43"/>
      <c r="AD742" s="43"/>
      <c r="AE742" s="48"/>
      <c r="AF742" s="48"/>
      <c r="AG742" s="48"/>
      <c r="AH742" s="50"/>
    </row>
    <row r="743" spans="8:34" ht="12.5">
      <c r="H743" s="43"/>
      <c r="I743" s="43"/>
      <c r="J743" s="43"/>
      <c r="K743" s="44"/>
      <c r="L743" s="45"/>
      <c r="M743" s="43"/>
      <c r="N743" s="46"/>
      <c r="O743" s="46"/>
      <c r="P743" s="45"/>
      <c r="Q743" s="45"/>
      <c r="R743" s="45"/>
      <c r="S743" s="43"/>
      <c r="T743" s="43"/>
      <c r="U743" s="43"/>
      <c r="V743" s="43"/>
      <c r="W743" s="43"/>
      <c r="X743" s="43"/>
      <c r="Y743" s="43"/>
      <c r="Z743" s="43"/>
      <c r="AA743" s="43"/>
      <c r="AB743" s="43"/>
      <c r="AC743" s="43"/>
      <c r="AD743" s="43"/>
      <c r="AE743" s="48"/>
      <c r="AF743" s="48"/>
      <c r="AG743" s="48"/>
      <c r="AH743" s="50"/>
    </row>
    <row r="744" spans="8:34" ht="12.5">
      <c r="H744" s="43"/>
      <c r="I744" s="43"/>
      <c r="J744" s="43"/>
      <c r="K744" s="44"/>
      <c r="L744" s="45"/>
      <c r="M744" s="43"/>
      <c r="N744" s="46"/>
      <c r="O744" s="46"/>
      <c r="P744" s="45"/>
      <c r="Q744" s="45"/>
      <c r="R744" s="45"/>
      <c r="S744" s="43"/>
      <c r="T744" s="43"/>
      <c r="U744" s="43"/>
      <c r="V744" s="43"/>
      <c r="W744" s="43"/>
      <c r="X744" s="43"/>
      <c r="Y744" s="43"/>
      <c r="Z744" s="43"/>
      <c r="AA744" s="43"/>
      <c r="AB744" s="43"/>
      <c r="AC744" s="43"/>
      <c r="AD744" s="43"/>
      <c r="AE744" s="48"/>
      <c r="AF744" s="48"/>
      <c r="AG744" s="48"/>
      <c r="AH744" s="50"/>
    </row>
    <row r="745" spans="8:34" ht="12.5">
      <c r="H745" s="43"/>
      <c r="I745" s="43"/>
      <c r="J745" s="43"/>
      <c r="K745" s="44"/>
      <c r="L745" s="45"/>
      <c r="M745" s="43"/>
      <c r="N745" s="46"/>
      <c r="O745" s="46"/>
      <c r="P745" s="45"/>
      <c r="Q745" s="45"/>
      <c r="R745" s="45"/>
      <c r="S745" s="43"/>
      <c r="T745" s="43"/>
      <c r="U745" s="43"/>
      <c r="V745" s="43"/>
      <c r="W745" s="43"/>
      <c r="X745" s="43"/>
      <c r="Y745" s="43"/>
      <c r="Z745" s="43"/>
      <c r="AA745" s="43"/>
      <c r="AB745" s="43"/>
      <c r="AC745" s="43"/>
      <c r="AD745" s="43"/>
      <c r="AE745" s="48"/>
      <c r="AF745" s="48"/>
      <c r="AG745" s="48"/>
      <c r="AH745" s="50"/>
    </row>
    <row r="746" spans="8:34" ht="12.5">
      <c r="H746" s="43"/>
      <c r="I746" s="43"/>
      <c r="J746" s="43"/>
      <c r="K746" s="44"/>
      <c r="L746" s="45"/>
      <c r="M746" s="43"/>
      <c r="N746" s="46"/>
      <c r="O746" s="46"/>
      <c r="P746" s="45"/>
      <c r="Q746" s="45"/>
      <c r="R746" s="45"/>
      <c r="S746" s="43"/>
      <c r="T746" s="43"/>
      <c r="U746" s="43"/>
      <c r="V746" s="43"/>
      <c r="W746" s="43"/>
      <c r="X746" s="43"/>
      <c r="Y746" s="43"/>
      <c r="Z746" s="43"/>
      <c r="AA746" s="43"/>
      <c r="AB746" s="43"/>
      <c r="AC746" s="43"/>
      <c r="AD746" s="43"/>
      <c r="AE746" s="48"/>
      <c r="AF746" s="48"/>
      <c r="AG746" s="48"/>
      <c r="AH746" s="50"/>
    </row>
    <row r="747" spans="8:34" ht="12.5">
      <c r="H747" s="43"/>
      <c r="I747" s="43"/>
      <c r="J747" s="43"/>
      <c r="K747" s="44"/>
      <c r="L747" s="45"/>
      <c r="M747" s="43"/>
      <c r="N747" s="46"/>
      <c r="O747" s="46"/>
      <c r="P747" s="45"/>
      <c r="Q747" s="45"/>
      <c r="R747" s="45"/>
      <c r="S747" s="43"/>
      <c r="T747" s="43"/>
      <c r="U747" s="43"/>
      <c r="V747" s="43"/>
      <c r="W747" s="43"/>
      <c r="X747" s="43"/>
      <c r="Y747" s="43"/>
      <c r="Z747" s="43"/>
      <c r="AA747" s="43"/>
      <c r="AB747" s="43"/>
      <c r="AC747" s="43"/>
      <c r="AD747" s="43"/>
      <c r="AE747" s="48"/>
      <c r="AF747" s="48"/>
      <c r="AG747" s="48"/>
      <c r="AH747" s="50"/>
    </row>
    <row r="748" spans="8:34" ht="12.5">
      <c r="H748" s="43"/>
      <c r="I748" s="43"/>
      <c r="J748" s="43"/>
      <c r="K748" s="44"/>
      <c r="L748" s="45"/>
      <c r="M748" s="43"/>
      <c r="N748" s="46"/>
      <c r="O748" s="46"/>
      <c r="P748" s="45"/>
      <c r="Q748" s="45"/>
      <c r="R748" s="45"/>
      <c r="S748" s="43"/>
      <c r="T748" s="43"/>
      <c r="U748" s="43"/>
      <c r="V748" s="43"/>
      <c r="W748" s="43"/>
      <c r="X748" s="43"/>
      <c r="Y748" s="43"/>
      <c r="Z748" s="43"/>
      <c r="AA748" s="43"/>
      <c r="AB748" s="43"/>
      <c r="AC748" s="43"/>
      <c r="AD748" s="43"/>
      <c r="AE748" s="48"/>
      <c r="AF748" s="48"/>
      <c r="AG748" s="48"/>
      <c r="AH748" s="50"/>
    </row>
    <row r="749" spans="8:34" ht="12.5">
      <c r="H749" s="43"/>
      <c r="I749" s="43"/>
      <c r="J749" s="43"/>
      <c r="K749" s="44"/>
      <c r="L749" s="45"/>
      <c r="M749" s="43"/>
      <c r="N749" s="46"/>
      <c r="O749" s="46"/>
      <c r="P749" s="45"/>
      <c r="Q749" s="45"/>
      <c r="R749" s="45"/>
      <c r="S749" s="43"/>
      <c r="T749" s="43"/>
      <c r="U749" s="43"/>
      <c r="V749" s="43"/>
      <c r="W749" s="43"/>
      <c r="X749" s="43"/>
      <c r="Y749" s="43"/>
      <c r="Z749" s="43"/>
      <c r="AA749" s="43"/>
      <c r="AB749" s="43"/>
      <c r="AC749" s="43"/>
      <c r="AD749" s="43"/>
      <c r="AE749" s="48"/>
      <c r="AF749" s="48"/>
      <c r="AG749" s="48"/>
      <c r="AH749" s="50"/>
    </row>
    <row r="750" spans="8:34" ht="12.5">
      <c r="H750" s="43"/>
      <c r="I750" s="43"/>
      <c r="J750" s="43"/>
      <c r="K750" s="44"/>
      <c r="L750" s="45"/>
      <c r="M750" s="43"/>
      <c r="N750" s="46"/>
      <c r="O750" s="46"/>
      <c r="P750" s="45"/>
      <c r="Q750" s="45"/>
      <c r="R750" s="45"/>
      <c r="S750" s="43"/>
      <c r="T750" s="43"/>
      <c r="U750" s="43"/>
      <c r="V750" s="43"/>
      <c r="W750" s="43"/>
      <c r="X750" s="43"/>
      <c r="Y750" s="43"/>
      <c r="Z750" s="43"/>
      <c r="AA750" s="43"/>
      <c r="AB750" s="43"/>
      <c r="AC750" s="43"/>
      <c r="AD750" s="43"/>
      <c r="AE750" s="48"/>
      <c r="AF750" s="48"/>
      <c r="AG750" s="48"/>
      <c r="AH750" s="50"/>
    </row>
    <row r="751" spans="8:34" ht="12.5">
      <c r="H751" s="43"/>
      <c r="I751" s="43"/>
      <c r="J751" s="43"/>
      <c r="K751" s="44"/>
      <c r="L751" s="45"/>
      <c r="M751" s="43"/>
      <c r="N751" s="46"/>
      <c r="O751" s="46"/>
      <c r="P751" s="45"/>
      <c r="Q751" s="45"/>
      <c r="R751" s="45"/>
      <c r="S751" s="43"/>
      <c r="T751" s="43"/>
      <c r="U751" s="43"/>
      <c r="V751" s="43"/>
      <c r="W751" s="43"/>
      <c r="X751" s="43"/>
      <c r="Y751" s="43"/>
      <c r="Z751" s="43"/>
      <c r="AA751" s="43"/>
      <c r="AB751" s="43"/>
      <c r="AC751" s="43"/>
      <c r="AD751" s="43"/>
      <c r="AE751" s="48"/>
      <c r="AF751" s="48"/>
      <c r="AG751" s="48"/>
      <c r="AH751" s="50"/>
    </row>
    <row r="752" spans="8:34" ht="12.5">
      <c r="H752" s="43"/>
      <c r="I752" s="43"/>
      <c r="J752" s="43"/>
      <c r="K752" s="44"/>
      <c r="L752" s="45"/>
      <c r="M752" s="43"/>
      <c r="N752" s="46"/>
      <c r="O752" s="46"/>
      <c r="P752" s="45"/>
      <c r="Q752" s="45"/>
      <c r="R752" s="45"/>
      <c r="S752" s="43"/>
      <c r="T752" s="43"/>
      <c r="U752" s="43"/>
      <c r="V752" s="43"/>
      <c r="W752" s="43"/>
      <c r="X752" s="43"/>
      <c r="Y752" s="43"/>
      <c r="Z752" s="43"/>
      <c r="AA752" s="43"/>
      <c r="AB752" s="43"/>
      <c r="AC752" s="43"/>
      <c r="AD752" s="43"/>
      <c r="AE752" s="48"/>
      <c r="AF752" s="48"/>
      <c r="AG752" s="48"/>
      <c r="AH752" s="50"/>
    </row>
    <row r="753" spans="8:34" ht="12.5">
      <c r="H753" s="43"/>
      <c r="I753" s="43"/>
      <c r="J753" s="43"/>
      <c r="K753" s="44"/>
      <c r="L753" s="45"/>
      <c r="M753" s="43"/>
      <c r="N753" s="46"/>
      <c r="O753" s="46"/>
      <c r="P753" s="45"/>
      <c r="Q753" s="45"/>
      <c r="R753" s="45"/>
      <c r="S753" s="43"/>
      <c r="T753" s="43"/>
      <c r="U753" s="43"/>
      <c r="V753" s="43"/>
      <c r="W753" s="43"/>
      <c r="X753" s="43"/>
      <c r="Y753" s="43"/>
      <c r="Z753" s="43"/>
      <c r="AA753" s="43"/>
      <c r="AB753" s="43"/>
      <c r="AC753" s="43"/>
      <c r="AD753" s="43"/>
      <c r="AE753" s="48"/>
      <c r="AF753" s="48"/>
      <c r="AG753" s="48"/>
      <c r="AH753" s="50"/>
    </row>
    <row r="754" spans="8:34" ht="12.5">
      <c r="H754" s="43"/>
      <c r="I754" s="43"/>
      <c r="J754" s="43"/>
      <c r="K754" s="44"/>
      <c r="L754" s="45"/>
      <c r="M754" s="43"/>
      <c r="N754" s="46"/>
      <c r="O754" s="46"/>
      <c r="P754" s="45"/>
      <c r="Q754" s="45"/>
      <c r="R754" s="45"/>
      <c r="S754" s="43"/>
      <c r="T754" s="43"/>
      <c r="U754" s="43"/>
      <c r="V754" s="43"/>
      <c r="W754" s="43"/>
      <c r="X754" s="43"/>
      <c r="Y754" s="43"/>
      <c r="Z754" s="43"/>
      <c r="AA754" s="43"/>
      <c r="AB754" s="43"/>
      <c r="AC754" s="43"/>
      <c r="AD754" s="43"/>
      <c r="AE754" s="48"/>
      <c r="AF754" s="48"/>
      <c r="AG754" s="48"/>
      <c r="AH754" s="50"/>
    </row>
    <row r="755" spans="8:34" ht="12.5">
      <c r="H755" s="43"/>
      <c r="I755" s="43"/>
      <c r="J755" s="43"/>
      <c r="K755" s="44"/>
      <c r="L755" s="45"/>
      <c r="M755" s="43"/>
      <c r="N755" s="46"/>
      <c r="O755" s="46"/>
      <c r="P755" s="45"/>
      <c r="Q755" s="45"/>
      <c r="R755" s="45"/>
      <c r="S755" s="43"/>
      <c r="T755" s="43"/>
      <c r="U755" s="43"/>
      <c r="V755" s="43"/>
      <c r="W755" s="43"/>
      <c r="X755" s="43"/>
      <c r="Y755" s="43"/>
      <c r="Z755" s="43"/>
      <c r="AA755" s="43"/>
      <c r="AB755" s="43"/>
      <c r="AC755" s="43"/>
      <c r="AD755" s="43"/>
      <c r="AE755" s="48"/>
      <c r="AF755" s="48"/>
      <c r="AG755" s="48"/>
      <c r="AH755" s="50"/>
    </row>
    <row r="756" spans="8:34" ht="12.5">
      <c r="H756" s="43"/>
      <c r="I756" s="43"/>
      <c r="J756" s="43"/>
      <c r="K756" s="44"/>
      <c r="L756" s="45"/>
      <c r="M756" s="43"/>
      <c r="N756" s="46"/>
      <c r="O756" s="46"/>
      <c r="P756" s="45"/>
      <c r="Q756" s="45"/>
      <c r="R756" s="45"/>
      <c r="S756" s="43"/>
      <c r="T756" s="43"/>
      <c r="U756" s="43"/>
      <c r="V756" s="43"/>
      <c r="W756" s="43"/>
      <c r="X756" s="43"/>
      <c r="Y756" s="43"/>
      <c r="Z756" s="43"/>
      <c r="AA756" s="43"/>
      <c r="AB756" s="43"/>
      <c r="AC756" s="43"/>
      <c r="AD756" s="43"/>
      <c r="AE756" s="48"/>
      <c r="AF756" s="48"/>
      <c r="AG756" s="48"/>
      <c r="AH756" s="50"/>
    </row>
    <row r="757" spans="8:34" ht="12.5">
      <c r="H757" s="43"/>
      <c r="I757" s="43"/>
      <c r="J757" s="43"/>
      <c r="K757" s="44"/>
      <c r="L757" s="45"/>
      <c r="M757" s="43"/>
      <c r="N757" s="46"/>
      <c r="O757" s="46"/>
      <c r="P757" s="45"/>
      <c r="Q757" s="45"/>
      <c r="R757" s="45"/>
      <c r="S757" s="43"/>
      <c r="T757" s="43"/>
      <c r="U757" s="43"/>
      <c r="V757" s="43"/>
      <c r="W757" s="43"/>
      <c r="X757" s="43"/>
      <c r="Y757" s="43"/>
      <c r="Z757" s="43"/>
      <c r="AA757" s="43"/>
      <c r="AB757" s="43"/>
      <c r="AC757" s="43"/>
      <c r="AD757" s="43"/>
      <c r="AE757" s="48"/>
      <c r="AF757" s="48"/>
      <c r="AG757" s="48"/>
      <c r="AH757" s="50"/>
    </row>
    <row r="758" spans="8:34" ht="12.5">
      <c r="H758" s="43"/>
      <c r="I758" s="43"/>
      <c r="J758" s="43"/>
      <c r="K758" s="44"/>
      <c r="L758" s="45"/>
      <c r="M758" s="43"/>
      <c r="N758" s="46"/>
      <c r="O758" s="46"/>
      <c r="P758" s="45"/>
      <c r="Q758" s="45"/>
      <c r="R758" s="45"/>
      <c r="S758" s="43"/>
      <c r="T758" s="43"/>
      <c r="U758" s="43"/>
      <c r="V758" s="43"/>
      <c r="W758" s="43"/>
      <c r="X758" s="43"/>
      <c r="Y758" s="43"/>
      <c r="Z758" s="43"/>
      <c r="AA758" s="43"/>
      <c r="AB758" s="43"/>
      <c r="AC758" s="43"/>
      <c r="AD758" s="43"/>
      <c r="AE758" s="48"/>
      <c r="AF758" s="48"/>
      <c r="AG758" s="48"/>
      <c r="AH758" s="50"/>
    </row>
    <row r="759" spans="8:34" ht="12.5">
      <c r="H759" s="43"/>
      <c r="I759" s="43"/>
      <c r="J759" s="43"/>
      <c r="K759" s="44"/>
      <c r="L759" s="45"/>
      <c r="M759" s="43"/>
      <c r="N759" s="46"/>
      <c r="O759" s="46"/>
      <c r="P759" s="45"/>
      <c r="Q759" s="45"/>
      <c r="R759" s="45"/>
      <c r="S759" s="43"/>
      <c r="T759" s="43"/>
      <c r="U759" s="43"/>
      <c r="V759" s="43"/>
      <c r="W759" s="43"/>
      <c r="X759" s="43"/>
      <c r="Y759" s="43"/>
      <c r="Z759" s="43"/>
      <c r="AA759" s="43"/>
      <c r="AB759" s="43"/>
      <c r="AC759" s="43"/>
      <c r="AD759" s="43"/>
      <c r="AE759" s="48"/>
      <c r="AF759" s="48"/>
      <c r="AG759" s="48"/>
      <c r="AH759" s="50"/>
    </row>
    <row r="760" spans="8:34" ht="12.5">
      <c r="H760" s="43"/>
      <c r="I760" s="43"/>
      <c r="J760" s="43"/>
      <c r="K760" s="44"/>
      <c r="L760" s="45"/>
      <c r="M760" s="43"/>
      <c r="N760" s="46"/>
      <c r="O760" s="46"/>
      <c r="P760" s="45"/>
      <c r="Q760" s="45"/>
      <c r="R760" s="45"/>
      <c r="S760" s="43"/>
      <c r="T760" s="43"/>
      <c r="U760" s="43"/>
      <c r="V760" s="43"/>
      <c r="W760" s="43"/>
      <c r="X760" s="43"/>
      <c r="Y760" s="43"/>
      <c r="Z760" s="43"/>
      <c r="AA760" s="43"/>
      <c r="AB760" s="43"/>
      <c r="AC760" s="43"/>
      <c r="AD760" s="43"/>
      <c r="AE760" s="48"/>
      <c r="AF760" s="48"/>
      <c r="AG760" s="48"/>
      <c r="AH760" s="50"/>
    </row>
    <row r="761" spans="8:34" ht="12.5">
      <c r="H761" s="43"/>
      <c r="I761" s="43"/>
      <c r="J761" s="43"/>
      <c r="K761" s="44"/>
      <c r="L761" s="45"/>
      <c r="M761" s="43"/>
      <c r="N761" s="46"/>
      <c r="O761" s="46"/>
      <c r="P761" s="45"/>
      <c r="Q761" s="45"/>
      <c r="R761" s="45"/>
      <c r="S761" s="43"/>
      <c r="T761" s="43"/>
      <c r="U761" s="43"/>
      <c r="V761" s="43"/>
      <c r="W761" s="43"/>
      <c r="X761" s="43"/>
      <c r="Y761" s="43"/>
      <c r="Z761" s="43"/>
      <c r="AA761" s="43"/>
      <c r="AB761" s="43"/>
      <c r="AC761" s="43"/>
      <c r="AD761" s="43"/>
      <c r="AE761" s="48"/>
      <c r="AF761" s="48"/>
      <c r="AG761" s="48"/>
      <c r="AH761" s="50"/>
    </row>
    <row r="762" spans="8:34" ht="12.5">
      <c r="H762" s="43"/>
      <c r="I762" s="43"/>
      <c r="J762" s="43"/>
      <c r="K762" s="44"/>
      <c r="L762" s="45"/>
      <c r="M762" s="43"/>
      <c r="N762" s="46"/>
      <c r="O762" s="46"/>
      <c r="P762" s="45"/>
      <c r="Q762" s="45"/>
      <c r="R762" s="45"/>
      <c r="S762" s="43"/>
      <c r="T762" s="43"/>
      <c r="U762" s="43"/>
      <c r="V762" s="43"/>
      <c r="W762" s="43"/>
      <c r="X762" s="43"/>
      <c r="Y762" s="43"/>
      <c r="Z762" s="43"/>
      <c r="AA762" s="43"/>
      <c r="AB762" s="43"/>
      <c r="AC762" s="43"/>
      <c r="AD762" s="43"/>
      <c r="AE762" s="48"/>
      <c r="AF762" s="48"/>
      <c r="AG762" s="48"/>
      <c r="AH762" s="50"/>
    </row>
    <row r="763" spans="8:34" ht="12.5">
      <c r="H763" s="43"/>
      <c r="I763" s="43"/>
      <c r="J763" s="43"/>
      <c r="K763" s="44"/>
      <c r="L763" s="45"/>
      <c r="M763" s="43"/>
      <c r="N763" s="46"/>
      <c r="O763" s="46"/>
      <c r="P763" s="45"/>
      <c r="Q763" s="45"/>
      <c r="R763" s="45"/>
      <c r="S763" s="43"/>
      <c r="T763" s="43"/>
      <c r="U763" s="43"/>
      <c r="V763" s="43"/>
      <c r="W763" s="43"/>
      <c r="X763" s="43"/>
      <c r="Y763" s="43"/>
      <c r="Z763" s="43"/>
      <c r="AA763" s="43"/>
      <c r="AB763" s="43"/>
      <c r="AC763" s="43"/>
      <c r="AD763" s="43"/>
      <c r="AE763" s="48"/>
      <c r="AF763" s="48"/>
      <c r="AG763" s="48"/>
      <c r="AH763" s="50"/>
    </row>
    <row r="764" spans="8:34" ht="12.5">
      <c r="H764" s="43"/>
      <c r="I764" s="43"/>
      <c r="J764" s="43"/>
      <c r="K764" s="44"/>
      <c r="L764" s="45"/>
      <c r="M764" s="43"/>
      <c r="N764" s="46"/>
      <c r="O764" s="46"/>
      <c r="P764" s="45"/>
      <c r="Q764" s="45"/>
      <c r="R764" s="45"/>
      <c r="S764" s="43"/>
      <c r="T764" s="43"/>
      <c r="U764" s="43"/>
      <c r="V764" s="43"/>
      <c r="W764" s="43"/>
      <c r="X764" s="43"/>
      <c r="Y764" s="43"/>
      <c r="Z764" s="43"/>
      <c r="AA764" s="43"/>
      <c r="AB764" s="43"/>
      <c r="AC764" s="43"/>
      <c r="AD764" s="43"/>
      <c r="AE764" s="48"/>
      <c r="AF764" s="48"/>
      <c r="AG764" s="48"/>
      <c r="AH764" s="50"/>
    </row>
    <row r="765" spans="8:34" ht="12.5">
      <c r="H765" s="43"/>
      <c r="I765" s="43"/>
      <c r="J765" s="43"/>
      <c r="K765" s="44"/>
      <c r="L765" s="45"/>
      <c r="M765" s="43"/>
      <c r="N765" s="46"/>
      <c r="O765" s="46"/>
      <c r="P765" s="45"/>
      <c r="Q765" s="45"/>
      <c r="R765" s="45"/>
      <c r="S765" s="43"/>
      <c r="T765" s="43"/>
      <c r="U765" s="43"/>
      <c r="V765" s="43"/>
      <c r="W765" s="43"/>
      <c r="X765" s="43"/>
      <c r="Y765" s="43"/>
      <c r="Z765" s="43"/>
      <c r="AA765" s="43"/>
      <c r="AB765" s="43"/>
      <c r="AC765" s="43"/>
      <c r="AD765" s="43"/>
      <c r="AE765" s="48"/>
      <c r="AF765" s="48"/>
      <c r="AG765" s="48"/>
      <c r="AH765" s="50"/>
    </row>
    <row r="766" spans="8:34" ht="12.5">
      <c r="H766" s="43"/>
      <c r="I766" s="43"/>
      <c r="J766" s="43"/>
      <c r="K766" s="44"/>
      <c r="L766" s="45"/>
      <c r="M766" s="43"/>
      <c r="N766" s="46"/>
      <c r="O766" s="46"/>
      <c r="P766" s="45"/>
      <c r="Q766" s="45"/>
      <c r="R766" s="45"/>
      <c r="S766" s="43"/>
      <c r="T766" s="43"/>
      <c r="U766" s="43"/>
      <c r="V766" s="43"/>
      <c r="W766" s="43"/>
      <c r="X766" s="43"/>
      <c r="Y766" s="43"/>
      <c r="Z766" s="43"/>
      <c r="AA766" s="43"/>
      <c r="AB766" s="43"/>
      <c r="AC766" s="43"/>
      <c r="AD766" s="43"/>
      <c r="AE766" s="48"/>
      <c r="AF766" s="48"/>
      <c r="AG766" s="48"/>
      <c r="AH766" s="50"/>
    </row>
    <row r="767" spans="8:34" ht="12.5">
      <c r="H767" s="43"/>
      <c r="I767" s="43"/>
      <c r="J767" s="43"/>
      <c r="K767" s="44"/>
      <c r="L767" s="45"/>
      <c r="M767" s="43"/>
      <c r="N767" s="46"/>
      <c r="O767" s="46"/>
      <c r="P767" s="45"/>
      <c r="Q767" s="45"/>
      <c r="R767" s="45"/>
      <c r="S767" s="43"/>
      <c r="T767" s="43"/>
      <c r="U767" s="43"/>
      <c r="V767" s="43"/>
      <c r="W767" s="43"/>
      <c r="X767" s="43"/>
      <c r="Y767" s="43"/>
      <c r="Z767" s="43"/>
      <c r="AA767" s="43"/>
      <c r="AB767" s="43"/>
      <c r="AC767" s="43"/>
      <c r="AD767" s="43"/>
      <c r="AE767" s="48"/>
      <c r="AF767" s="48"/>
      <c r="AG767" s="48"/>
      <c r="AH767" s="50"/>
    </row>
    <row r="768" spans="8:34" ht="12.5">
      <c r="H768" s="43"/>
      <c r="I768" s="43"/>
      <c r="J768" s="43"/>
      <c r="K768" s="44"/>
      <c r="L768" s="45"/>
      <c r="M768" s="43"/>
      <c r="N768" s="46"/>
      <c r="O768" s="46"/>
      <c r="P768" s="45"/>
      <c r="Q768" s="45"/>
      <c r="R768" s="45"/>
      <c r="S768" s="43"/>
      <c r="T768" s="43"/>
      <c r="U768" s="43"/>
      <c r="V768" s="43"/>
      <c r="W768" s="43"/>
      <c r="X768" s="43"/>
      <c r="Y768" s="43"/>
      <c r="Z768" s="43"/>
      <c r="AA768" s="43"/>
      <c r="AB768" s="43"/>
      <c r="AC768" s="43"/>
      <c r="AD768" s="43"/>
      <c r="AE768" s="48"/>
      <c r="AF768" s="48"/>
      <c r="AG768" s="48"/>
      <c r="AH768" s="50"/>
    </row>
    <row r="769" spans="8:34" ht="12.5">
      <c r="H769" s="43"/>
      <c r="I769" s="43"/>
      <c r="J769" s="43"/>
      <c r="K769" s="44"/>
      <c r="L769" s="45"/>
      <c r="M769" s="43"/>
      <c r="N769" s="46"/>
      <c r="O769" s="46"/>
      <c r="P769" s="45"/>
      <c r="Q769" s="45"/>
      <c r="R769" s="45"/>
      <c r="S769" s="43"/>
      <c r="T769" s="43"/>
      <c r="U769" s="43"/>
      <c r="V769" s="43"/>
      <c r="W769" s="43"/>
      <c r="X769" s="43"/>
      <c r="Y769" s="43"/>
      <c r="Z769" s="43"/>
      <c r="AA769" s="43"/>
      <c r="AB769" s="43"/>
      <c r="AC769" s="43"/>
      <c r="AD769" s="43"/>
      <c r="AE769" s="48"/>
      <c r="AF769" s="48"/>
      <c r="AG769" s="48"/>
      <c r="AH769" s="50"/>
    </row>
    <row r="770" spans="8:34" ht="12.5">
      <c r="H770" s="43"/>
      <c r="I770" s="43"/>
      <c r="J770" s="43"/>
      <c r="K770" s="44"/>
      <c r="L770" s="45"/>
      <c r="M770" s="43"/>
      <c r="N770" s="46"/>
      <c r="O770" s="46"/>
      <c r="P770" s="45"/>
      <c r="Q770" s="45"/>
      <c r="R770" s="45"/>
      <c r="S770" s="43"/>
      <c r="T770" s="43"/>
      <c r="U770" s="43"/>
      <c r="V770" s="43"/>
      <c r="W770" s="43"/>
      <c r="X770" s="43"/>
      <c r="Y770" s="43"/>
      <c r="Z770" s="43"/>
      <c r="AA770" s="43"/>
      <c r="AB770" s="43"/>
      <c r="AC770" s="43"/>
      <c r="AD770" s="43"/>
      <c r="AE770" s="48"/>
      <c r="AF770" s="48"/>
      <c r="AG770" s="48"/>
      <c r="AH770" s="50"/>
    </row>
    <row r="771" spans="8:34" ht="12.5">
      <c r="H771" s="43"/>
      <c r="I771" s="43"/>
      <c r="J771" s="43"/>
      <c r="K771" s="44"/>
      <c r="L771" s="45"/>
      <c r="M771" s="43"/>
      <c r="N771" s="46"/>
      <c r="O771" s="46"/>
      <c r="P771" s="45"/>
      <c r="Q771" s="45"/>
      <c r="R771" s="45"/>
      <c r="S771" s="43"/>
      <c r="T771" s="43"/>
      <c r="U771" s="43"/>
      <c r="V771" s="43"/>
      <c r="W771" s="43"/>
      <c r="X771" s="43"/>
      <c r="Y771" s="43"/>
      <c r="Z771" s="43"/>
      <c r="AA771" s="43"/>
      <c r="AB771" s="43"/>
      <c r="AC771" s="43"/>
      <c r="AD771" s="43"/>
      <c r="AE771" s="48"/>
      <c r="AF771" s="48"/>
      <c r="AG771" s="48"/>
      <c r="AH771" s="50"/>
    </row>
    <row r="772" spans="8:34" ht="12.5">
      <c r="H772" s="43"/>
      <c r="I772" s="43"/>
      <c r="J772" s="43"/>
      <c r="K772" s="44"/>
      <c r="L772" s="45"/>
      <c r="M772" s="43"/>
      <c r="N772" s="46"/>
      <c r="O772" s="46"/>
      <c r="P772" s="45"/>
      <c r="Q772" s="45"/>
      <c r="R772" s="45"/>
      <c r="S772" s="43"/>
      <c r="T772" s="43"/>
      <c r="U772" s="43"/>
      <c r="V772" s="43"/>
      <c r="W772" s="43"/>
      <c r="X772" s="43"/>
      <c r="Y772" s="43"/>
      <c r="Z772" s="43"/>
      <c r="AA772" s="43"/>
      <c r="AB772" s="43"/>
      <c r="AC772" s="43"/>
      <c r="AD772" s="43"/>
      <c r="AE772" s="48"/>
      <c r="AF772" s="48"/>
      <c r="AG772" s="48"/>
      <c r="AH772" s="50"/>
    </row>
    <row r="773" spans="8:34" ht="12.5">
      <c r="H773" s="43"/>
      <c r="I773" s="43"/>
      <c r="J773" s="43"/>
      <c r="K773" s="44"/>
      <c r="L773" s="45"/>
      <c r="M773" s="43"/>
      <c r="N773" s="46"/>
      <c r="O773" s="46"/>
      <c r="P773" s="45"/>
      <c r="Q773" s="45"/>
      <c r="R773" s="45"/>
      <c r="S773" s="43"/>
      <c r="T773" s="43"/>
      <c r="U773" s="43"/>
      <c r="V773" s="43"/>
      <c r="W773" s="43"/>
      <c r="X773" s="43"/>
      <c r="Y773" s="43"/>
      <c r="Z773" s="43"/>
      <c r="AA773" s="43"/>
      <c r="AB773" s="43"/>
      <c r="AC773" s="43"/>
      <c r="AD773" s="43"/>
      <c r="AE773" s="48"/>
      <c r="AF773" s="48"/>
      <c r="AG773" s="48"/>
      <c r="AH773" s="50"/>
    </row>
    <row r="774" spans="8:34" ht="12.5">
      <c r="H774" s="43"/>
      <c r="I774" s="43"/>
      <c r="J774" s="43"/>
      <c r="K774" s="44"/>
      <c r="L774" s="45"/>
      <c r="M774" s="43"/>
      <c r="N774" s="46"/>
      <c r="O774" s="46"/>
      <c r="P774" s="45"/>
      <c r="Q774" s="45"/>
      <c r="R774" s="45"/>
      <c r="S774" s="43"/>
      <c r="T774" s="43"/>
      <c r="U774" s="43"/>
      <c r="V774" s="43"/>
      <c r="W774" s="43"/>
      <c r="X774" s="43"/>
      <c r="Y774" s="43"/>
      <c r="Z774" s="43"/>
      <c r="AA774" s="43"/>
      <c r="AB774" s="43"/>
      <c r="AC774" s="43"/>
      <c r="AD774" s="43"/>
      <c r="AE774" s="48"/>
      <c r="AF774" s="48"/>
      <c r="AG774" s="48"/>
      <c r="AH774" s="50"/>
    </row>
    <row r="775" spans="8:34" ht="12.5">
      <c r="H775" s="43"/>
      <c r="I775" s="43"/>
      <c r="J775" s="43"/>
      <c r="K775" s="44"/>
      <c r="L775" s="45"/>
      <c r="M775" s="43"/>
      <c r="N775" s="46"/>
      <c r="O775" s="46"/>
      <c r="P775" s="45"/>
      <c r="Q775" s="45"/>
      <c r="R775" s="45"/>
      <c r="S775" s="43"/>
      <c r="T775" s="43"/>
      <c r="U775" s="43"/>
      <c r="V775" s="43"/>
      <c r="W775" s="43"/>
      <c r="X775" s="43"/>
      <c r="Y775" s="43"/>
      <c r="Z775" s="43"/>
      <c r="AA775" s="43"/>
      <c r="AB775" s="43"/>
      <c r="AC775" s="43"/>
      <c r="AD775" s="43"/>
      <c r="AE775" s="48"/>
      <c r="AF775" s="48"/>
      <c r="AG775" s="48"/>
      <c r="AH775" s="50"/>
    </row>
    <row r="776" spans="8:34" ht="12.5">
      <c r="H776" s="43"/>
      <c r="I776" s="43"/>
      <c r="J776" s="43"/>
      <c r="K776" s="44"/>
      <c r="L776" s="45"/>
      <c r="M776" s="43"/>
      <c r="N776" s="46"/>
      <c r="O776" s="46"/>
      <c r="P776" s="45"/>
      <c r="Q776" s="45"/>
      <c r="R776" s="45"/>
      <c r="S776" s="43"/>
      <c r="T776" s="43"/>
      <c r="U776" s="43"/>
      <c r="V776" s="43"/>
      <c r="W776" s="43"/>
      <c r="X776" s="43"/>
      <c r="Y776" s="43"/>
      <c r="Z776" s="43"/>
      <c r="AA776" s="43"/>
      <c r="AB776" s="43"/>
      <c r="AC776" s="43"/>
      <c r="AD776" s="43"/>
      <c r="AE776" s="48"/>
      <c r="AF776" s="48"/>
      <c r="AG776" s="48"/>
      <c r="AH776" s="50"/>
    </row>
    <row r="777" spans="8:34" ht="12.5">
      <c r="H777" s="43"/>
      <c r="I777" s="43"/>
      <c r="J777" s="43"/>
      <c r="K777" s="44"/>
      <c r="L777" s="45"/>
      <c r="M777" s="43"/>
      <c r="N777" s="46"/>
      <c r="O777" s="46"/>
      <c r="P777" s="45"/>
      <c r="Q777" s="45"/>
      <c r="R777" s="45"/>
      <c r="S777" s="43"/>
      <c r="T777" s="43"/>
      <c r="U777" s="43"/>
      <c r="V777" s="43"/>
      <c r="W777" s="43"/>
      <c r="X777" s="43"/>
      <c r="Y777" s="43"/>
      <c r="Z777" s="43"/>
      <c r="AA777" s="43"/>
      <c r="AB777" s="43"/>
      <c r="AC777" s="43"/>
      <c r="AD777" s="43"/>
      <c r="AE777" s="48"/>
      <c r="AF777" s="48"/>
      <c r="AG777" s="48"/>
      <c r="AH777" s="50"/>
    </row>
    <row r="778" spans="8:34" ht="12.5">
      <c r="H778" s="43"/>
      <c r="I778" s="43"/>
      <c r="J778" s="43"/>
      <c r="K778" s="44"/>
      <c r="L778" s="45"/>
      <c r="M778" s="43"/>
      <c r="N778" s="46"/>
      <c r="O778" s="46"/>
      <c r="P778" s="45"/>
      <c r="Q778" s="45"/>
      <c r="R778" s="45"/>
      <c r="S778" s="43"/>
      <c r="T778" s="43"/>
      <c r="U778" s="43"/>
      <c r="V778" s="43"/>
      <c r="W778" s="43"/>
      <c r="X778" s="43"/>
      <c r="Y778" s="43"/>
      <c r="Z778" s="43"/>
      <c r="AA778" s="43"/>
      <c r="AB778" s="43"/>
      <c r="AC778" s="43"/>
      <c r="AD778" s="43"/>
      <c r="AE778" s="48"/>
      <c r="AF778" s="48"/>
      <c r="AG778" s="48"/>
      <c r="AH778" s="50"/>
    </row>
    <row r="779" spans="8:34" ht="12.5">
      <c r="H779" s="43"/>
      <c r="I779" s="43"/>
      <c r="J779" s="43"/>
      <c r="K779" s="44"/>
      <c r="L779" s="45"/>
      <c r="M779" s="43"/>
      <c r="N779" s="46"/>
      <c r="O779" s="46"/>
      <c r="P779" s="45"/>
      <c r="Q779" s="45"/>
      <c r="R779" s="45"/>
      <c r="S779" s="43"/>
      <c r="T779" s="43"/>
      <c r="U779" s="43"/>
      <c r="V779" s="43"/>
      <c r="W779" s="43"/>
      <c r="X779" s="43"/>
      <c r="Y779" s="43"/>
      <c r="Z779" s="43"/>
      <c r="AA779" s="43"/>
      <c r="AB779" s="43"/>
      <c r="AC779" s="43"/>
      <c r="AD779" s="43"/>
      <c r="AE779" s="48"/>
      <c r="AF779" s="48"/>
      <c r="AG779" s="48"/>
      <c r="AH779" s="50"/>
    </row>
    <row r="780" spans="8:34" ht="12.5">
      <c r="H780" s="43"/>
      <c r="I780" s="43"/>
      <c r="J780" s="43"/>
      <c r="K780" s="44"/>
      <c r="L780" s="45"/>
      <c r="M780" s="43"/>
      <c r="N780" s="46"/>
      <c r="O780" s="46"/>
      <c r="P780" s="45"/>
      <c r="Q780" s="45"/>
      <c r="R780" s="45"/>
      <c r="S780" s="43"/>
      <c r="T780" s="43"/>
      <c r="U780" s="43"/>
      <c r="V780" s="43"/>
      <c r="W780" s="43"/>
      <c r="X780" s="43"/>
      <c r="Y780" s="43"/>
      <c r="Z780" s="43"/>
      <c r="AA780" s="43"/>
      <c r="AB780" s="43"/>
      <c r="AC780" s="43"/>
      <c r="AD780" s="43"/>
      <c r="AE780" s="48"/>
      <c r="AF780" s="48"/>
      <c r="AG780" s="48"/>
      <c r="AH780" s="50"/>
    </row>
    <row r="781" spans="8:34" ht="12.5">
      <c r="H781" s="43"/>
      <c r="I781" s="43"/>
      <c r="J781" s="43"/>
      <c r="K781" s="44"/>
      <c r="L781" s="45"/>
      <c r="M781" s="43"/>
      <c r="N781" s="46"/>
      <c r="O781" s="46"/>
      <c r="P781" s="45"/>
      <c r="Q781" s="45"/>
      <c r="R781" s="45"/>
      <c r="S781" s="43"/>
      <c r="T781" s="43"/>
      <c r="U781" s="43"/>
      <c r="V781" s="43"/>
      <c r="W781" s="43"/>
      <c r="X781" s="43"/>
      <c r="Y781" s="43"/>
      <c r="Z781" s="43"/>
      <c r="AA781" s="43"/>
      <c r="AB781" s="43"/>
      <c r="AC781" s="43"/>
      <c r="AD781" s="43"/>
      <c r="AE781" s="48"/>
      <c r="AF781" s="48"/>
      <c r="AG781" s="48"/>
      <c r="AH781" s="50"/>
    </row>
    <row r="782" spans="8:34" ht="12.5">
      <c r="H782" s="43"/>
      <c r="I782" s="43"/>
      <c r="J782" s="43"/>
      <c r="K782" s="44"/>
      <c r="L782" s="45"/>
      <c r="M782" s="43"/>
      <c r="N782" s="46"/>
      <c r="O782" s="46"/>
      <c r="P782" s="45"/>
      <c r="Q782" s="45"/>
      <c r="R782" s="45"/>
      <c r="S782" s="43"/>
      <c r="T782" s="43"/>
      <c r="U782" s="43"/>
      <c r="V782" s="43"/>
      <c r="W782" s="43"/>
      <c r="X782" s="43"/>
      <c r="Y782" s="43"/>
      <c r="Z782" s="43"/>
      <c r="AA782" s="43"/>
      <c r="AB782" s="43"/>
      <c r="AC782" s="43"/>
      <c r="AD782" s="43"/>
      <c r="AE782" s="48"/>
      <c r="AF782" s="48"/>
      <c r="AG782" s="48"/>
      <c r="AH782" s="50"/>
    </row>
    <row r="783" spans="8:34" ht="12.5">
      <c r="H783" s="43"/>
      <c r="I783" s="43"/>
      <c r="J783" s="43"/>
      <c r="K783" s="44"/>
      <c r="L783" s="45"/>
      <c r="M783" s="43"/>
      <c r="N783" s="46"/>
      <c r="O783" s="46"/>
      <c r="P783" s="45"/>
      <c r="Q783" s="45"/>
      <c r="R783" s="45"/>
      <c r="S783" s="43"/>
      <c r="T783" s="43"/>
      <c r="U783" s="43"/>
      <c r="V783" s="43"/>
      <c r="W783" s="43"/>
      <c r="X783" s="43"/>
      <c r="Y783" s="43"/>
      <c r="Z783" s="43"/>
      <c r="AA783" s="43"/>
      <c r="AB783" s="43"/>
      <c r="AC783" s="43"/>
      <c r="AD783" s="43"/>
      <c r="AE783" s="48"/>
      <c r="AF783" s="48"/>
      <c r="AG783" s="48"/>
      <c r="AH783" s="50"/>
    </row>
    <row r="784" spans="8:34" ht="12.5">
      <c r="H784" s="43"/>
      <c r="I784" s="43"/>
      <c r="J784" s="43"/>
      <c r="K784" s="44"/>
      <c r="L784" s="45"/>
      <c r="M784" s="43"/>
      <c r="N784" s="46"/>
      <c r="O784" s="46"/>
      <c r="P784" s="45"/>
      <c r="Q784" s="45"/>
      <c r="R784" s="45"/>
      <c r="S784" s="43"/>
      <c r="T784" s="43"/>
      <c r="U784" s="43"/>
      <c r="V784" s="43"/>
      <c r="W784" s="43"/>
      <c r="X784" s="43"/>
      <c r="Y784" s="43"/>
      <c r="Z784" s="43"/>
      <c r="AA784" s="43"/>
      <c r="AB784" s="43"/>
      <c r="AC784" s="43"/>
      <c r="AD784" s="43"/>
      <c r="AE784" s="48"/>
      <c r="AF784" s="48"/>
      <c r="AG784" s="48"/>
      <c r="AH784" s="50"/>
    </row>
    <row r="785" spans="8:34" ht="12.5">
      <c r="H785" s="43"/>
      <c r="I785" s="43"/>
      <c r="J785" s="43"/>
      <c r="K785" s="44"/>
      <c r="L785" s="45"/>
      <c r="M785" s="43"/>
      <c r="N785" s="46"/>
      <c r="O785" s="46"/>
      <c r="P785" s="45"/>
      <c r="Q785" s="45"/>
      <c r="R785" s="45"/>
      <c r="S785" s="43"/>
      <c r="T785" s="43"/>
      <c r="U785" s="43"/>
      <c r="V785" s="43"/>
      <c r="W785" s="43"/>
      <c r="X785" s="43"/>
      <c r="Y785" s="43"/>
      <c r="Z785" s="43"/>
      <c r="AA785" s="43"/>
      <c r="AB785" s="43"/>
      <c r="AC785" s="43"/>
      <c r="AD785" s="43"/>
      <c r="AE785" s="48"/>
      <c r="AF785" s="48"/>
      <c r="AG785" s="48"/>
      <c r="AH785" s="50"/>
    </row>
    <row r="786" spans="8:34" ht="12.5">
      <c r="H786" s="43"/>
      <c r="I786" s="43"/>
      <c r="J786" s="43"/>
      <c r="K786" s="44"/>
      <c r="L786" s="45"/>
      <c r="M786" s="43"/>
      <c r="N786" s="46"/>
      <c r="O786" s="46"/>
      <c r="P786" s="45"/>
      <c r="Q786" s="45"/>
      <c r="R786" s="45"/>
      <c r="S786" s="43"/>
      <c r="T786" s="43"/>
      <c r="U786" s="43"/>
      <c r="V786" s="43"/>
      <c r="W786" s="43"/>
      <c r="X786" s="43"/>
      <c r="Y786" s="43"/>
      <c r="Z786" s="43"/>
      <c r="AA786" s="43"/>
      <c r="AB786" s="43"/>
      <c r="AC786" s="43"/>
      <c r="AD786" s="43"/>
      <c r="AE786" s="48"/>
      <c r="AF786" s="48"/>
      <c r="AG786" s="48"/>
      <c r="AH786" s="50"/>
    </row>
    <row r="787" spans="8:34" ht="12.5">
      <c r="H787" s="43"/>
      <c r="I787" s="43"/>
      <c r="J787" s="43"/>
      <c r="K787" s="44"/>
      <c r="L787" s="45"/>
      <c r="M787" s="43"/>
      <c r="N787" s="46"/>
      <c r="O787" s="46"/>
      <c r="P787" s="45"/>
      <c r="Q787" s="45"/>
      <c r="R787" s="45"/>
      <c r="S787" s="43"/>
      <c r="T787" s="43"/>
      <c r="U787" s="43"/>
      <c r="V787" s="43"/>
      <c r="W787" s="43"/>
      <c r="X787" s="43"/>
      <c r="Y787" s="43"/>
      <c r="Z787" s="43"/>
      <c r="AA787" s="43"/>
      <c r="AB787" s="43"/>
      <c r="AC787" s="43"/>
      <c r="AD787" s="43"/>
      <c r="AE787" s="48"/>
      <c r="AF787" s="48"/>
      <c r="AG787" s="48"/>
      <c r="AH787" s="50"/>
    </row>
    <row r="788" spans="8:34" ht="12.5">
      <c r="H788" s="43"/>
      <c r="I788" s="43"/>
      <c r="J788" s="43"/>
      <c r="K788" s="44"/>
      <c r="L788" s="45"/>
      <c r="M788" s="43"/>
      <c r="N788" s="46"/>
      <c r="O788" s="46"/>
      <c r="P788" s="45"/>
      <c r="Q788" s="45"/>
      <c r="R788" s="45"/>
      <c r="S788" s="43"/>
      <c r="T788" s="43"/>
      <c r="U788" s="43"/>
      <c r="V788" s="43"/>
      <c r="W788" s="43"/>
      <c r="X788" s="43"/>
      <c r="Y788" s="43"/>
      <c r="Z788" s="43"/>
      <c r="AA788" s="43"/>
      <c r="AB788" s="43"/>
      <c r="AC788" s="43"/>
      <c r="AD788" s="43"/>
      <c r="AE788" s="48"/>
      <c r="AF788" s="48"/>
      <c r="AG788" s="48"/>
      <c r="AH788" s="50"/>
    </row>
    <row r="789" spans="8:34" ht="12.5">
      <c r="H789" s="43"/>
      <c r="I789" s="43"/>
      <c r="J789" s="43"/>
      <c r="K789" s="44"/>
      <c r="L789" s="45"/>
      <c r="M789" s="43"/>
      <c r="N789" s="46"/>
      <c r="O789" s="46"/>
      <c r="P789" s="45"/>
      <c r="Q789" s="45"/>
      <c r="R789" s="45"/>
      <c r="S789" s="43"/>
      <c r="T789" s="43"/>
      <c r="U789" s="43"/>
      <c r="V789" s="43"/>
      <c r="W789" s="43"/>
      <c r="X789" s="43"/>
      <c r="Y789" s="43"/>
      <c r="Z789" s="43"/>
      <c r="AA789" s="43"/>
      <c r="AB789" s="43"/>
      <c r="AC789" s="43"/>
      <c r="AD789" s="43"/>
      <c r="AE789" s="48"/>
      <c r="AF789" s="48"/>
      <c r="AG789" s="48"/>
      <c r="AH789" s="50"/>
    </row>
    <row r="790" spans="8:34" ht="12.5">
      <c r="H790" s="43"/>
      <c r="I790" s="43"/>
      <c r="J790" s="43"/>
      <c r="K790" s="44"/>
      <c r="L790" s="45"/>
      <c r="M790" s="43"/>
      <c r="N790" s="46"/>
      <c r="O790" s="46"/>
      <c r="P790" s="45"/>
      <c r="Q790" s="45"/>
      <c r="R790" s="45"/>
      <c r="S790" s="43"/>
      <c r="T790" s="43"/>
      <c r="U790" s="43"/>
      <c r="V790" s="43"/>
      <c r="W790" s="43"/>
      <c r="X790" s="43"/>
      <c r="Y790" s="43"/>
      <c r="Z790" s="43"/>
      <c r="AA790" s="43"/>
      <c r="AB790" s="43"/>
      <c r="AC790" s="43"/>
      <c r="AD790" s="43"/>
      <c r="AE790" s="48"/>
      <c r="AF790" s="48"/>
      <c r="AG790" s="48"/>
      <c r="AH790" s="50"/>
    </row>
    <row r="791" spans="8:34" ht="12.5">
      <c r="H791" s="43"/>
      <c r="I791" s="43"/>
      <c r="J791" s="43"/>
      <c r="K791" s="44"/>
      <c r="L791" s="45"/>
      <c r="M791" s="43"/>
      <c r="N791" s="46"/>
      <c r="O791" s="46"/>
      <c r="P791" s="45"/>
      <c r="Q791" s="45"/>
      <c r="R791" s="45"/>
      <c r="S791" s="43"/>
      <c r="T791" s="43"/>
      <c r="U791" s="43"/>
      <c r="V791" s="43"/>
      <c r="W791" s="43"/>
      <c r="X791" s="43"/>
      <c r="Y791" s="43"/>
      <c r="Z791" s="43"/>
      <c r="AA791" s="43"/>
      <c r="AB791" s="43"/>
      <c r="AC791" s="43"/>
      <c r="AD791" s="43"/>
      <c r="AE791" s="48"/>
      <c r="AF791" s="48"/>
      <c r="AG791" s="48"/>
      <c r="AH791" s="50"/>
    </row>
    <row r="792" spans="8:34" ht="12.5">
      <c r="H792" s="43"/>
      <c r="I792" s="43"/>
      <c r="J792" s="43"/>
      <c r="K792" s="44"/>
      <c r="L792" s="45"/>
      <c r="M792" s="43"/>
      <c r="N792" s="46"/>
      <c r="O792" s="46"/>
      <c r="P792" s="45"/>
      <c r="Q792" s="45"/>
      <c r="R792" s="45"/>
      <c r="S792" s="43"/>
      <c r="T792" s="43"/>
      <c r="U792" s="43"/>
      <c r="V792" s="43"/>
      <c r="W792" s="43"/>
      <c r="X792" s="43"/>
      <c r="Y792" s="43"/>
      <c r="Z792" s="43"/>
      <c r="AA792" s="43"/>
      <c r="AB792" s="43"/>
      <c r="AC792" s="43"/>
      <c r="AD792" s="43"/>
      <c r="AE792" s="48"/>
      <c r="AF792" s="48"/>
      <c r="AG792" s="48"/>
      <c r="AH792" s="50"/>
    </row>
    <row r="793" spans="8:34" ht="12.5">
      <c r="H793" s="43"/>
      <c r="I793" s="43"/>
      <c r="J793" s="43"/>
      <c r="K793" s="44"/>
      <c r="L793" s="45"/>
      <c r="M793" s="43"/>
      <c r="N793" s="46"/>
      <c r="O793" s="46"/>
      <c r="P793" s="45"/>
      <c r="Q793" s="45"/>
      <c r="R793" s="45"/>
      <c r="S793" s="43"/>
      <c r="T793" s="43"/>
      <c r="U793" s="43"/>
      <c r="V793" s="43"/>
      <c r="W793" s="43"/>
      <c r="X793" s="43"/>
      <c r="Y793" s="43"/>
      <c r="Z793" s="43"/>
      <c r="AA793" s="43"/>
      <c r="AB793" s="43"/>
      <c r="AC793" s="43"/>
      <c r="AD793" s="43"/>
      <c r="AE793" s="48"/>
      <c r="AF793" s="48"/>
      <c r="AG793" s="48"/>
      <c r="AH793" s="50"/>
    </row>
    <row r="794" spans="8:34" ht="12.5">
      <c r="H794" s="43"/>
      <c r="I794" s="43"/>
      <c r="J794" s="43"/>
      <c r="K794" s="44"/>
      <c r="L794" s="45"/>
      <c r="M794" s="43"/>
      <c r="N794" s="46"/>
      <c r="O794" s="46"/>
      <c r="P794" s="45"/>
      <c r="Q794" s="45"/>
      <c r="R794" s="45"/>
      <c r="S794" s="43"/>
      <c r="T794" s="43"/>
      <c r="U794" s="43"/>
      <c r="V794" s="43"/>
      <c r="W794" s="43"/>
      <c r="X794" s="43"/>
      <c r="Y794" s="43"/>
      <c r="Z794" s="43"/>
      <c r="AA794" s="43"/>
      <c r="AB794" s="43"/>
      <c r="AC794" s="43"/>
      <c r="AD794" s="43"/>
      <c r="AE794" s="48"/>
      <c r="AF794" s="48"/>
      <c r="AG794" s="48"/>
      <c r="AH794" s="50"/>
    </row>
    <row r="795" spans="8:34" ht="12.5">
      <c r="H795" s="43"/>
      <c r="I795" s="43"/>
      <c r="J795" s="43"/>
      <c r="K795" s="44"/>
      <c r="L795" s="45"/>
      <c r="M795" s="43"/>
      <c r="N795" s="46"/>
      <c r="O795" s="46"/>
      <c r="P795" s="45"/>
      <c r="Q795" s="45"/>
      <c r="R795" s="45"/>
      <c r="S795" s="43"/>
      <c r="T795" s="43"/>
      <c r="U795" s="43"/>
      <c r="V795" s="43"/>
      <c r="W795" s="43"/>
      <c r="X795" s="43"/>
      <c r="Y795" s="43"/>
      <c r="Z795" s="43"/>
      <c r="AA795" s="43"/>
      <c r="AB795" s="43"/>
      <c r="AC795" s="43"/>
      <c r="AD795" s="43"/>
      <c r="AE795" s="48"/>
      <c r="AF795" s="48"/>
      <c r="AG795" s="48"/>
      <c r="AH795" s="50"/>
    </row>
    <row r="796" spans="8:34" ht="12.5">
      <c r="H796" s="43"/>
      <c r="I796" s="43"/>
      <c r="J796" s="43"/>
      <c r="K796" s="44"/>
      <c r="L796" s="45"/>
      <c r="M796" s="43"/>
      <c r="N796" s="46"/>
      <c r="O796" s="46"/>
      <c r="P796" s="45"/>
      <c r="Q796" s="45"/>
      <c r="R796" s="45"/>
      <c r="S796" s="43"/>
      <c r="T796" s="43"/>
      <c r="U796" s="43"/>
      <c r="V796" s="43"/>
      <c r="W796" s="43"/>
      <c r="X796" s="43"/>
      <c r="Y796" s="43"/>
      <c r="Z796" s="43"/>
      <c r="AA796" s="43"/>
      <c r="AB796" s="43"/>
      <c r="AC796" s="43"/>
      <c r="AD796" s="43"/>
      <c r="AE796" s="48"/>
      <c r="AF796" s="48"/>
      <c r="AG796" s="48"/>
      <c r="AH796" s="50"/>
    </row>
    <row r="797" spans="8:34" ht="12.5">
      <c r="H797" s="43"/>
      <c r="I797" s="43"/>
      <c r="J797" s="43"/>
      <c r="K797" s="44"/>
      <c r="L797" s="45"/>
      <c r="M797" s="43"/>
      <c r="N797" s="46"/>
      <c r="O797" s="46"/>
      <c r="P797" s="45"/>
      <c r="Q797" s="45"/>
      <c r="R797" s="45"/>
      <c r="S797" s="43"/>
      <c r="T797" s="43"/>
      <c r="U797" s="43"/>
      <c r="V797" s="43"/>
      <c r="W797" s="43"/>
      <c r="X797" s="43"/>
      <c r="Y797" s="43"/>
      <c r="Z797" s="43"/>
      <c r="AA797" s="43"/>
      <c r="AB797" s="43"/>
      <c r="AC797" s="43"/>
      <c r="AD797" s="43"/>
      <c r="AE797" s="48"/>
      <c r="AF797" s="48"/>
      <c r="AG797" s="48"/>
      <c r="AH797" s="50"/>
    </row>
    <row r="798" spans="8:34" ht="12.5">
      <c r="H798" s="43"/>
      <c r="I798" s="43"/>
      <c r="J798" s="43"/>
      <c r="K798" s="44"/>
      <c r="L798" s="45"/>
      <c r="M798" s="43"/>
      <c r="N798" s="46"/>
      <c r="O798" s="46"/>
      <c r="P798" s="45"/>
      <c r="Q798" s="45"/>
      <c r="R798" s="45"/>
      <c r="S798" s="43"/>
      <c r="T798" s="43"/>
      <c r="U798" s="43"/>
      <c r="V798" s="43"/>
      <c r="W798" s="43"/>
      <c r="X798" s="43"/>
      <c r="Y798" s="43"/>
      <c r="Z798" s="43"/>
      <c r="AA798" s="43"/>
      <c r="AB798" s="43"/>
      <c r="AC798" s="43"/>
      <c r="AD798" s="43"/>
      <c r="AE798" s="48"/>
      <c r="AF798" s="48"/>
      <c r="AG798" s="48"/>
      <c r="AH798" s="50"/>
    </row>
    <row r="799" spans="8:34" ht="12.5">
      <c r="H799" s="43"/>
      <c r="I799" s="43"/>
      <c r="J799" s="43"/>
      <c r="K799" s="44"/>
      <c r="L799" s="45"/>
      <c r="M799" s="43"/>
      <c r="N799" s="46"/>
      <c r="O799" s="46"/>
      <c r="P799" s="45"/>
      <c r="Q799" s="45"/>
      <c r="R799" s="45"/>
      <c r="S799" s="43"/>
      <c r="T799" s="43"/>
      <c r="U799" s="43"/>
      <c r="V799" s="43"/>
      <c r="W799" s="43"/>
      <c r="X799" s="43"/>
      <c r="Y799" s="43"/>
      <c r="Z799" s="43"/>
      <c r="AA799" s="43"/>
      <c r="AB799" s="43"/>
      <c r="AC799" s="43"/>
      <c r="AD799" s="43"/>
      <c r="AE799" s="48"/>
      <c r="AF799" s="48"/>
      <c r="AG799" s="48"/>
      <c r="AH799" s="50"/>
    </row>
    <row r="800" spans="8:34" ht="12.5">
      <c r="H800" s="43"/>
      <c r="I800" s="43"/>
      <c r="J800" s="43"/>
      <c r="K800" s="44"/>
      <c r="L800" s="45"/>
      <c r="M800" s="43"/>
      <c r="N800" s="46"/>
      <c r="O800" s="46"/>
      <c r="P800" s="45"/>
      <c r="Q800" s="45"/>
      <c r="R800" s="45"/>
      <c r="S800" s="43"/>
      <c r="T800" s="43"/>
      <c r="U800" s="43"/>
      <c r="V800" s="43"/>
      <c r="W800" s="43"/>
      <c r="X800" s="43"/>
      <c r="Y800" s="43"/>
      <c r="Z800" s="43"/>
      <c r="AA800" s="43"/>
      <c r="AB800" s="43"/>
      <c r="AC800" s="43"/>
      <c r="AD800" s="43"/>
      <c r="AE800" s="48"/>
      <c r="AF800" s="48"/>
      <c r="AG800" s="48"/>
      <c r="AH800" s="50"/>
    </row>
    <row r="801" spans="8:34" ht="12.5">
      <c r="H801" s="43"/>
      <c r="I801" s="43"/>
      <c r="J801" s="43"/>
      <c r="K801" s="44"/>
      <c r="L801" s="45"/>
      <c r="M801" s="43"/>
      <c r="N801" s="46"/>
      <c r="O801" s="46"/>
      <c r="P801" s="45"/>
      <c r="Q801" s="45"/>
      <c r="R801" s="45"/>
      <c r="S801" s="43"/>
      <c r="T801" s="43"/>
      <c r="U801" s="43"/>
      <c r="V801" s="43"/>
      <c r="W801" s="43"/>
      <c r="X801" s="43"/>
      <c r="Y801" s="43"/>
      <c r="Z801" s="43"/>
      <c r="AA801" s="43"/>
      <c r="AB801" s="43"/>
      <c r="AC801" s="43"/>
      <c r="AD801" s="43"/>
      <c r="AE801" s="48"/>
      <c r="AF801" s="48"/>
      <c r="AG801" s="48"/>
      <c r="AH801" s="50"/>
    </row>
    <row r="802" spans="8:34" ht="12.5">
      <c r="H802" s="43"/>
      <c r="I802" s="43"/>
      <c r="J802" s="43"/>
      <c r="K802" s="44"/>
      <c r="L802" s="45"/>
      <c r="M802" s="43"/>
      <c r="N802" s="46"/>
      <c r="O802" s="46"/>
      <c r="P802" s="45"/>
      <c r="Q802" s="45"/>
      <c r="R802" s="45"/>
      <c r="S802" s="43"/>
      <c r="T802" s="43"/>
      <c r="U802" s="43"/>
      <c r="V802" s="43"/>
      <c r="W802" s="43"/>
      <c r="X802" s="43"/>
      <c r="Y802" s="43"/>
      <c r="Z802" s="43"/>
      <c r="AA802" s="43"/>
      <c r="AB802" s="43"/>
      <c r="AC802" s="43"/>
      <c r="AD802" s="43"/>
      <c r="AE802" s="48"/>
      <c r="AF802" s="48"/>
      <c r="AG802" s="48"/>
      <c r="AH802" s="50"/>
    </row>
    <row r="803" spans="8:34" ht="12.5">
      <c r="H803" s="43"/>
      <c r="I803" s="43"/>
      <c r="J803" s="43"/>
      <c r="K803" s="44"/>
      <c r="L803" s="45"/>
      <c r="M803" s="43"/>
      <c r="N803" s="46"/>
      <c r="O803" s="46"/>
      <c r="P803" s="45"/>
      <c r="Q803" s="45"/>
      <c r="R803" s="45"/>
      <c r="S803" s="43"/>
      <c r="T803" s="43"/>
      <c r="U803" s="43"/>
      <c r="V803" s="43"/>
      <c r="W803" s="43"/>
      <c r="X803" s="43"/>
      <c r="Y803" s="43"/>
      <c r="Z803" s="43"/>
      <c r="AA803" s="43"/>
      <c r="AB803" s="43"/>
      <c r="AC803" s="43"/>
      <c r="AD803" s="43"/>
      <c r="AE803" s="48"/>
      <c r="AF803" s="48"/>
      <c r="AG803" s="48"/>
      <c r="AH803" s="50"/>
    </row>
    <row r="804" spans="8:34" ht="12.5">
      <c r="H804" s="43"/>
      <c r="I804" s="43"/>
      <c r="J804" s="43"/>
      <c r="K804" s="44"/>
      <c r="L804" s="45"/>
      <c r="M804" s="43"/>
      <c r="N804" s="46"/>
      <c r="O804" s="46"/>
      <c r="P804" s="45"/>
      <c r="Q804" s="45"/>
      <c r="R804" s="45"/>
      <c r="S804" s="43"/>
      <c r="T804" s="43"/>
      <c r="U804" s="43"/>
      <c r="V804" s="43"/>
      <c r="W804" s="43"/>
      <c r="X804" s="43"/>
      <c r="Y804" s="43"/>
      <c r="Z804" s="43"/>
      <c r="AA804" s="43"/>
      <c r="AB804" s="43"/>
      <c r="AC804" s="43"/>
      <c r="AD804" s="43"/>
      <c r="AE804" s="48"/>
      <c r="AF804" s="48"/>
      <c r="AG804" s="48"/>
      <c r="AH804" s="50"/>
    </row>
    <row r="805" spans="8:34" ht="12.5">
      <c r="H805" s="43"/>
      <c r="I805" s="43"/>
      <c r="J805" s="43"/>
      <c r="K805" s="44"/>
      <c r="L805" s="45"/>
      <c r="M805" s="43"/>
      <c r="N805" s="46"/>
      <c r="O805" s="46"/>
      <c r="P805" s="45"/>
      <c r="Q805" s="45"/>
      <c r="R805" s="45"/>
      <c r="S805" s="43"/>
      <c r="T805" s="43"/>
      <c r="U805" s="43"/>
      <c r="V805" s="43"/>
      <c r="W805" s="43"/>
      <c r="X805" s="43"/>
      <c r="Y805" s="43"/>
      <c r="Z805" s="43"/>
      <c r="AA805" s="43"/>
      <c r="AB805" s="43"/>
      <c r="AC805" s="43"/>
      <c r="AD805" s="43"/>
      <c r="AE805" s="48"/>
      <c r="AF805" s="48"/>
      <c r="AG805" s="48"/>
      <c r="AH805" s="50"/>
    </row>
    <row r="806" spans="8:34" ht="12.5">
      <c r="H806" s="43"/>
      <c r="I806" s="43"/>
      <c r="J806" s="43"/>
      <c r="K806" s="44"/>
      <c r="L806" s="45"/>
      <c r="M806" s="43"/>
      <c r="N806" s="46"/>
      <c r="O806" s="46"/>
      <c r="P806" s="45"/>
      <c r="Q806" s="45"/>
      <c r="R806" s="45"/>
      <c r="S806" s="43"/>
      <c r="T806" s="43"/>
      <c r="U806" s="43"/>
      <c r="V806" s="43"/>
      <c r="W806" s="43"/>
      <c r="X806" s="43"/>
      <c r="Y806" s="43"/>
      <c r="Z806" s="43"/>
      <c r="AA806" s="43"/>
      <c r="AB806" s="43"/>
      <c r="AC806" s="43"/>
      <c r="AD806" s="43"/>
      <c r="AE806" s="48"/>
      <c r="AF806" s="48"/>
      <c r="AG806" s="48"/>
      <c r="AH806" s="50"/>
    </row>
    <row r="807" spans="8:34" ht="12.5">
      <c r="H807" s="43"/>
      <c r="I807" s="43"/>
      <c r="J807" s="43"/>
      <c r="K807" s="44"/>
      <c r="L807" s="45"/>
      <c r="M807" s="43"/>
      <c r="N807" s="46"/>
      <c r="O807" s="46"/>
      <c r="P807" s="45"/>
      <c r="Q807" s="45"/>
      <c r="R807" s="45"/>
      <c r="S807" s="43"/>
      <c r="T807" s="43"/>
      <c r="U807" s="43"/>
      <c r="V807" s="43"/>
      <c r="W807" s="43"/>
      <c r="X807" s="43"/>
      <c r="Y807" s="43"/>
      <c r="Z807" s="43"/>
      <c r="AA807" s="43"/>
      <c r="AB807" s="43"/>
      <c r="AC807" s="43"/>
      <c r="AD807" s="43"/>
      <c r="AE807" s="48"/>
      <c r="AF807" s="48"/>
      <c r="AG807" s="48"/>
      <c r="AH807" s="50"/>
    </row>
    <row r="808" spans="8:34" ht="12.5">
      <c r="H808" s="43"/>
      <c r="I808" s="43"/>
      <c r="J808" s="43"/>
      <c r="K808" s="44"/>
      <c r="L808" s="45"/>
      <c r="M808" s="43"/>
      <c r="N808" s="46"/>
      <c r="O808" s="46"/>
      <c r="P808" s="45"/>
      <c r="Q808" s="45"/>
      <c r="R808" s="45"/>
      <c r="S808" s="43"/>
      <c r="T808" s="43"/>
      <c r="U808" s="43"/>
      <c r="V808" s="43"/>
      <c r="W808" s="43"/>
      <c r="X808" s="43"/>
      <c r="Y808" s="43"/>
      <c r="Z808" s="43"/>
      <c r="AA808" s="43"/>
      <c r="AB808" s="43"/>
      <c r="AC808" s="43"/>
      <c r="AD808" s="43"/>
      <c r="AE808" s="48"/>
      <c r="AF808" s="48"/>
      <c r="AG808" s="48"/>
      <c r="AH808" s="50"/>
    </row>
    <row r="809" spans="8:34" ht="12.5">
      <c r="H809" s="43"/>
      <c r="I809" s="43"/>
      <c r="J809" s="43"/>
      <c r="K809" s="44"/>
      <c r="L809" s="45"/>
      <c r="M809" s="43"/>
      <c r="N809" s="46"/>
      <c r="O809" s="46"/>
      <c r="P809" s="45"/>
      <c r="Q809" s="45"/>
      <c r="R809" s="45"/>
      <c r="S809" s="43"/>
      <c r="T809" s="43"/>
      <c r="U809" s="43"/>
      <c r="V809" s="43"/>
      <c r="W809" s="43"/>
      <c r="X809" s="43"/>
      <c r="Y809" s="43"/>
      <c r="Z809" s="43"/>
      <c r="AA809" s="43"/>
      <c r="AB809" s="43"/>
      <c r="AC809" s="43"/>
      <c r="AD809" s="43"/>
      <c r="AE809" s="48"/>
      <c r="AF809" s="48"/>
      <c r="AG809" s="48"/>
      <c r="AH809" s="50"/>
    </row>
    <row r="810" spans="8:34" ht="12.5">
      <c r="H810" s="43"/>
      <c r="I810" s="43"/>
      <c r="J810" s="43"/>
      <c r="K810" s="44"/>
      <c r="L810" s="45"/>
      <c r="M810" s="43"/>
      <c r="N810" s="46"/>
      <c r="O810" s="46"/>
      <c r="P810" s="45"/>
      <c r="Q810" s="45"/>
      <c r="R810" s="45"/>
      <c r="S810" s="43"/>
      <c r="T810" s="43"/>
      <c r="U810" s="43"/>
      <c r="V810" s="43"/>
      <c r="W810" s="43"/>
      <c r="X810" s="43"/>
      <c r="Y810" s="43"/>
      <c r="Z810" s="43"/>
      <c r="AA810" s="43"/>
      <c r="AB810" s="43"/>
      <c r="AC810" s="43"/>
      <c r="AD810" s="43"/>
      <c r="AE810" s="48"/>
      <c r="AF810" s="48"/>
      <c r="AG810" s="48"/>
      <c r="AH810" s="50"/>
    </row>
    <row r="811" spans="8:34" ht="12.5">
      <c r="H811" s="43"/>
      <c r="I811" s="43"/>
      <c r="J811" s="43"/>
      <c r="K811" s="44"/>
      <c r="L811" s="45"/>
      <c r="M811" s="43"/>
      <c r="N811" s="46"/>
      <c r="O811" s="46"/>
      <c r="P811" s="45"/>
      <c r="Q811" s="45"/>
      <c r="R811" s="45"/>
      <c r="S811" s="43"/>
      <c r="T811" s="43"/>
      <c r="U811" s="43"/>
      <c r="V811" s="43"/>
      <c r="W811" s="43"/>
      <c r="X811" s="43"/>
      <c r="Y811" s="43"/>
      <c r="Z811" s="43"/>
      <c r="AA811" s="43"/>
      <c r="AB811" s="43"/>
      <c r="AC811" s="43"/>
      <c r="AD811" s="43"/>
      <c r="AE811" s="48"/>
      <c r="AF811" s="48"/>
      <c r="AG811" s="48"/>
      <c r="AH811" s="50"/>
    </row>
    <row r="812" spans="8:34" ht="12.5">
      <c r="H812" s="43"/>
      <c r="I812" s="43"/>
      <c r="J812" s="43"/>
      <c r="K812" s="44"/>
      <c r="L812" s="45"/>
      <c r="M812" s="43"/>
      <c r="N812" s="46"/>
      <c r="O812" s="46"/>
      <c r="P812" s="45"/>
      <c r="Q812" s="45"/>
      <c r="R812" s="45"/>
      <c r="S812" s="43"/>
      <c r="T812" s="43"/>
      <c r="U812" s="43"/>
      <c r="V812" s="43"/>
      <c r="W812" s="43"/>
      <c r="X812" s="43"/>
      <c r="Y812" s="43"/>
      <c r="Z812" s="43"/>
      <c r="AA812" s="43"/>
      <c r="AB812" s="43"/>
      <c r="AC812" s="43"/>
      <c r="AD812" s="43"/>
      <c r="AE812" s="48"/>
      <c r="AF812" s="48"/>
      <c r="AG812" s="48"/>
      <c r="AH812" s="50"/>
    </row>
    <row r="813" spans="8:34" ht="12.5">
      <c r="H813" s="43"/>
      <c r="I813" s="43"/>
      <c r="J813" s="43"/>
      <c r="K813" s="44"/>
      <c r="L813" s="45"/>
      <c r="M813" s="43"/>
      <c r="N813" s="46"/>
      <c r="O813" s="46"/>
      <c r="P813" s="45"/>
      <c r="Q813" s="45"/>
      <c r="R813" s="45"/>
      <c r="S813" s="43"/>
      <c r="T813" s="43"/>
      <c r="U813" s="43"/>
      <c r="V813" s="43"/>
      <c r="W813" s="43"/>
      <c r="X813" s="43"/>
      <c r="Y813" s="43"/>
      <c r="Z813" s="43"/>
      <c r="AA813" s="43"/>
      <c r="AB813" s="43"/>
      <c r="AC813" s="43"/>
      <c r="AD813" s="43"/>
      <c r="AE813" s="48"/>
      <c r="AF813" s="48"/>
      <c r="AG813" s="48"/>
      <c r="AH813" s="50"/>
    </row>
    <row r="814" spans="8:34" ht="12.5">
      <c r="H814" s="43"/>
      <c r="I814" s="43"/>
      <c r="J814" s="43"/>
      <c r="K814" s="44"/>
      <c r="L814" s="45"/>
      <c r="M814" s="43"/>
      <c r="N814" s="46"/>
      <c r="O814" s="46"/>
      <c r="P814" s="45"/>
      <c r="Q814" s="45"/>
      <c r="R814" s="45"/>
      <c r="S814" s="43"/>
      <c r="T814" s="43"/>
      <c r="U814" s="43"/>
      <c r="V814" s="43"/>
      <c r="W814" s="43"/>
      <c r="X814" s="43"/>
      <c r="Y814" s="43"/>
      <c r="Z814" s="43"/>
      <c r="AA814" s="43"/>
      <c r="AB814" s="43"/>
      <c r="AC814" s="43"/>
      <c r="AD814" s="43"/>
      <c r="AE814" s="48"/>
      <c r="AF814" s="48"/>
      <c r="AG814" s="48"/>
      <c r="AH814" s="50"/>
    </row>
    <row r="815" spans="8:34" ht="12.5">
      <c r="H815" s="43"/>
      <c r="I815" s="43"/>
      <c r="J815" s="43"/>
      <c r="K815" s="44"/>
      <c r="L815" s="45"/>
      <c r="M815" s="43"/>
      <c r="N815" s="46"/>
      <c r="O815" s="46"/>
      <c r="P815" s="45"/>
      <c r="Q815" s="45"/>
      <c r="R815" s="45"/>
      <c r="S815" s="43"/>
      <c r="T815" s="43"/>
      <c r="U815" s="43"/>
      <c r="V815" s="43"/>
      <c r="W815" s="43"/>
      <c r="X815" s="43"/>
      <c r="Y815" s="43"/>
      <c r="Z815" s="43"/>
      <c r="AA815" s="43"/>
      <c r="AB815" s="43"/>
      <c r="AC815" s="43"/>
      <c r="AD815" s="43"/>
      <c r="AE815" s="48"/>
      <c r="AF815" s="48"/>
      <c r="AG815" s="48"/>
      <c r="AH815" s="50"/>
    </row>
    <row r="816" spans="8:34" ht="12.5">
      <c r="H816" s="43"/>
      <c r="I816" s="43"/>
      <c r="J816" s="43"/>
      <c r="K816" s="44"/>
      <c r="L816" s="45"/>
      <c r="M816" s="43"/>
      <c r="N816" s="46"/>
      <c r="O816" s="46"/>
      <c r="P816" s="45"/>
      <c r="Q816" s="45"/>
      <c r="R816" s="45"/>
      <c r="S816" s="43"/>
      <c r="T816" s="43"/>
      <c r="U816" s="43"/>
      <c r="V816" s="43"/>
      <c r="W816" s="43"/>
      <c r="X816" s="43"/>
      <c r="Y816" s="43"/>
      <c r="Z816" s="43"/>
      <c r="AA816" s="43"/>
      <c r="AB816" s="43"/>
      <c r="AC816" s="43"/>
      <c r="AD816" s="43"/>
      <c r="AE816" s="48"/>
      <c r="AF816" s="48"/>
      <c r="AG816" s="48"/>
      <c r="AH816" s="50"/>
    </row>
    <row r="817" spans="8:34" ht="12.5">
      <c r="H817" s="43"/>
      <c r="I817" s="43"/>
      <c r="J817" s="43"/>
      <c r="K817" s="44"/>
      <c r="L817" s="45"/>
      <c r="M817" s="43"/>
      <c r="N817" s="46"/>
      <c r="O817" s="46"/>
      <c r="P817" s="45"/>
      <c r="Q817" s="45"/>
      <c r="R817" s="45"/>
      <c r="S817" s="43"/>
      <c r="T817" s="43"/>
      <c r="U817" s="43"/>
      <c r="V817" s="43"/>
      <c r="W817" s="43"/>
      <c r="X817" s="43"/>
      <c r="Y817" s="43"/>
      <c r="Z817" s="43"/>
      <c r="AA817" s="43"/>
      <c r="AB817" s="43"/>
      <c r="AC817" s="43"/>
      <c r="AD817" s="43"/>
      <c r="AE817" s="48"/>
      <c r="AF817" s="48"/>
      <c r="AG817" s="48"/>
      <c r="AH817" s="50"/>
    </row>
    <row r="818" spans="8:34" ht="12.5">
      <c r="H818" s="43"/>
      <c r="I818" s="43"/>
      <c r="J818" s="43"/>
      <c r="K818" s="44"/>
      <c r="L818" s="45"/>
      <c r="M818" s="43"/>
      <c r="N818" s="46"/>
      <c r="O818" s="46"/>
      <c r="P818" s="45"/>
      <c r="Q818" s="45"/>
      <c r="R818" s="45"/>
      <c r="S818" s="43"/>
      <c r="T818" s="43"/>
      <c r="U818" s="43"/>
      <c r="V818" s="43"/>
      <c r="W818" s="43"/>
      <c r="X818" s="43"/>
      <c r="Y818" s="43"/>
      <c r="Z818" s="43"/>
      <c r="AA818" s="43"/>
      <c r="AB818" s="43"/>
      <c r="AC818" s="43"/>
      <c r="AD818" s="43"/>
      <c r="AE818" s="48"/>
      <c r="AF818" s="48"/>
      <c r="AG818" s="48"/>
      <c r="AH818" s="50"/>
    </row>
    <row r="819" spans="8:34" ht="12.5">
      <c r="H819" s="43"/>
      <c r="I819" s="43"/>
      <c r="J819" s="43"/>
      <c r="K819" s="44"/>
      <c r="L819" s="45"/>
      <c r="M819" s="43"/>
      <c r="N819" s="46"/>
      <c r="O819" s="46"/>
      <c r="P819" s="45"/>
      <c r="Q819" s="45"/>
      <c r="R819" s="45"/>
      <c r="S819" s="43"/>
      <c r="T819" s="43"/>
      <c r="U819" s="43"/>
      <c r="V819" s="43"/>
      <c r="W819" s="43"/>
      <c r="X819" s="43"/>
      <c r="Y819" s="43"/>
      <c r="Z819" s="43"/>
      <c r="AA819" s="43"/>
      <c r="AB819" s="43"/>
      <c r="AC819" s="43"/>
      <c r="AD819" s="43"/>
      <c r="AE819" s="48"/>
      <c r="AF819" s="48"/>
      <c r="AG819" s="48"/>
      <c r="AH819" s="50"/>
    </row>
    <row r="820" spans="8:34" ht="12.5">
      <c r="H820" s="43"/>
      <c r="I820" s="43"/>
      <c r="J820" s="43"/>
      <c r="K820" s="44"/>
      <c r="L820" s="45"/>
      <c r="M820" s="43"/>
      <c r="N820" s="46"/>
      <c r="O820" s="46"/>
      <c r="P820" s="45"/>
      <c r="Q820" s="45"/>
      <c r="R820" s="45"/>
      <c r="S820" s="43"/>
      <c r="T820" s="43"/>
      <c r="U820" s="43"/>
      <c r="V820" s="43"/>
      <c r="W820" s="43"/>
      <c r="X820" s="43"/>
      <c r="Y820" s="43"/>
      <c r="Z820" s="43"/>
      <c r="AA820" s="43"/>
      <c r="AB820" s="43"/>
      <c r="AC820" s="43"/>
      <c r="AD820" s="43"/>
      <c r="AE820" s="48"/>
      <c r="AF820" s="48"/>
      <c r="AG820" s="48"/>
      <c r="AH820" s="50"/>
    </row>
    <row r="821" spans="8:34" ht="12.5">
      <c r="H821" s="43"/>
      <c r="I821" s="43"/>
      <c r="J821" s="43"/>
      <c r="K821" s="44"/>
      <c r="L821" s="45"/>
      <c r="M821" s="43"/>
      <c r="N821" s="46"/>
      <c r="O821" s="46"/>
      <c r="P821" s="45"/>
      <c r="Q821" s="45"/>
      <c r="R821" s="45"/>
      <c r="S821" s="43"/>
      <c r="T821" s="43"/>
      <c r="U821" s="43"/>
      <c r="V821" s="43"/>
      <c r="W821" s="43"/>
      <c r="X821" s="43"/>
      <c r="Y821" s="43"/>
      <c r="Z821" s="43"/>
      <c r="AA821" s="43"/>
      <c r="AB821" s="43"/>
      <c r="AC821" s="43"/>
      <c r="AD821" s="43"/>
      <c r="AE821" s="48"/>
      <c r="AF821" s="48"/>
      <c r="AG821" s="48"/>
      <c r="AH821" s="50"/>
    </row>
    <row r="822" spans="8:34" ht="12.5">
      <c r="H822" s="43"/>
      <c r="I822" s="43"/>
      <c r="J822" s="43"/>
      <c r="K822" s="44"/>
      <c r="L822" s="45"/>
      <c r="M822" s="43"/>
      <c r="N822" s="46"/>
      <c r="O822" s="46"/>
      <c r="P822" s="45"/>
      <c r="Q822" s="45"/>
      <c r="R822" s="45"/>
      <c r="S822" s="43"/>
      <c r="T822" s="43"/>
      <c r="U822" s="43"/>
      <c r="V822" s="43"/>
      <c r="W822" s="43"/>
      <c r="X822" s="43"/>
      <c r="Y822" s="43"/>
      <c r="Z822" s="43"/>
      <c r="AA822" s="43"/>
      <c r="AB822" s="43"/>
      <c r="AC822" s="43"/>
      <c r="AD822" s="43"/>
      <c r="AE822" s="48"/>
      <c r="AF822" s="48"/>
      <c r="AG822" s="48"/>
      <c r="AH822" s="50"/>
    </row>
    <row r="823" spans="8:34" ht="12.5">
      <c r="H823" s="43"/>
      <c r="I823" s="43"/>
      <c r="J823" s="43"/>
      <c r="K823" s="44"/>
      <c r="L823" s="45"/>
      <c r="M823" s="43"/>
      <c r="N823" s="46"/>
      <c r="O823" s="46"/>
      <c r="P823" s="45"/>
      <c r="Q823" s="45"/>
      <c r="R823" s="45"/>
      <c r="S823" s="43"/>
      <c r="T823" s="43"/>
      <c r="U823" s="43"/>
      <c r="V823" s="43"/>
      <c r="W823" s="43"/>
      <c r="X823" s="43"/>
      <c r="Y823" s="43"/>
      <c r="Z823" s="43"/>
      <c r="AA823" s="43"/>
      <c r="AB823" s="43"/>
      <c r="AC823" s="43"/>
      <c r="AD823" s="43"/>
      <c r="AE823" s="48"/>
      <c r="AF823" s="48"/>
      <c r="AG823" s="48"/>
      <c r="AH823" s="50"/>
    </row>
    <row r="824" spans="8:34" ht="12.5">
      <c r="H824" s="43"/>
      <c r="I824" s="43"/>
      <c r="J824" s="43"/>
      <c r="K824" s="44"/>
      <c r="L824" s="45"/>
      <c r="M824" s="43"/>
      <c r="N824" s="46"/>
      <c r="O824" s="46"/>
      <c r="P824" s="45"/>
      <c r="Q824" s="45"/>
      <c r="R824" s="45"/>
      <c r="S824" s="43"/>
      <c r="T824" s="43"/>
      <c r="U824" s="43"/>
      <c r="V824" s="43"/>
      <c r="W824" s="43"/>
      <c r="X824" s="43"/>
      <c r="Y824" s="43"/>
      <c r="Z824" s="43"/>
      <c r="AA824" s="43"/>
      <c r="AB824" s="43"/>
      <c r="AC824" s="43"/>
      <c r="AD824" s="43"/>
      <c r="AE824" s="48"/>
      <c r="AF824" s="48"/>
      <c r="AG824" s="48"/>
      <c r="AH824" s="50"/>
    </row>
    <row r="825" spans="8:34" ht="12.5">
      <c r="H825" s="43"/>
      <c r="I825" s="43"/>
      <c r="J825" s="43"/>
      <c r="K825" s="44"/>
      <c r="L825" s="45"/>
      <c r="M825" s="43"/>
      <c r="N825" s="46"/>
      <c r="O825" s="46"/>
      <c r="P825" s="45"/>
      <c r="Q825" s="45"/>
      <c r="R825" s="45"/>
      <c r="S825" s="43"/>
      <c r="T825" s="43"/>
      <c r="U825" s="43"/>
      <c r="V825" s="43"/>
      <c r="W825" s="43"/>
      <c r="X825" s="43"/>
      <c r="Y825" s="43"/>
      <c r="Z825" s="43"/>
      <c r="AA825" s="43"/>
      <c r="AB825" s="43"/>
      <c r="AC825" s="43"/>
      <c r="AD825" s="43"/>
      <c r="AE825" s="48"/>
      <c r="AF825" s="48"/>
      <c r="AG825" s="48"/>
      <c r="AH825" s="50"/>
    </row>
    <row r="826" spans="8:34" ht="12.5">
      <c r="H826" s="43"/>
      <c r="I826" s="43"/>
      <c r="J826" s="43"/>
      <c r="K826" s="44"/>
      <c r="L826" s="45"/>
      <c r="M826" s="43"/>
      <c r="N826" s="46"/>
      <c r="O826" s="46"/>
      <c r="P826" s="45"/>
      <c r="Q826" s="45"/>
      <c r="R826" s="45"/>
      <c r="S826" s="43"/>
      <c r="T826" s="43"/>
      <c r="U826" s="43"/>
      <c r="V826" s="43"/>
      <c r="W826" s="43"/>
      <c r="X826" s="43"/>
      <c r="Y826" s="43"/>
      <c r="Z826" s="43"/>
      <c r="AA826" s="43"/>
      <c r="AB826" s="43"/>
      <c r="AC826" s="43"/>
      <c r="AD826" s="43"/>
      <c r="AE826" s="48"/>
      <c r="AF826" s="48"/>
      <c r="AG826" s="48"/>
      <c r="AH826" s="50"/>
    </row>
    <row r="827" spans="8:34" ht="12.5">
      <c r="H827" s="43"/>
      <c r="I827" s="43"/>
      <c r="J827" s="43"/>
      <c r="K827" s="44"/>
      <c r="L827" s="45"/>
      <c r="M827" s="43"/>
      <c r="N827" s="46"/>
      <c r="O827" s="46"/>
      <c r="P827" s="45"/>
      <c r="Q827" s="45"/>
      <c r="R827" s="45"/>
      <c r="S827" s="43"/>
      <c r="T827" s="43"/>
      <c r="U827" s="43"/>
      <c r="V827" s="43"/>
      <c r="W827" s="43"/>
      <c r="X827" s="43"/>
      <c r="Y827" s="43"/>
      <c r="Z827" s="43"/>
      <c r="AA827" s="43"/>
      <c r="AB827" s="43"/>
      <c r="AC827" s="43"/>
      <c r="AD827" s="43"/>
      <c r="AE827" s="48"/>
      <c r="AF827" s="48"/>
      <c r="AG827" s="48"/>
      <c r="AH827" s="50"/>
    </row>
    <row r="828" spans="8:34" ht="12.5">
      <c r="H828" s="43"/>
      <c r="I828" s="43"/>
      <c r="J828" s="43"/>
      <c r="K828" s="44"/>
      <c r="L828" s="45"/>
      <c r="M828" s="43"/>
      <c r="N828" s="46"/>
      <c r="O828" s="46"/>
      <c r="P828" s="45"/>
      <c r="Q828" s="45"/>
      <c r="R828" s="45"/>
      <c r="S828" s="43"/>
      <c r="T828" s="43"/>
      <c r="U828" s="43"/>
      <c r="V828" s="43"/>
      <c r="W828" s="43"/>
      <c r="X828" s="43"/>
      <c r="Y828" s="43"/>
      <c r="Z828" s="43"/>
      <c r="AA828" s="43"/>
      <c r="AB828" s="43"/>
      <c r="AC828" s="43"/>
      <c r="AD828" s="43"/>
      <c r="AE828" s="48"/>
      <c r="AF828" s="48"/>
      <c r="AG828" s="48"/>
      <c r="AH828" s="50"/>
    </row>
    <row r="829" spans="8:34" ht="12.5">
      <c r="H829" s="43"/>
      <c r="I829" s="43"/>
      <c r="J829" s="43"/>
      <c r="K829" s="44"/>
      <c r="L829" s="45"/>
      <c r="M829" s="43"/>
      <c r="N829" s="46"/>
      <c r="O829" s="46"/>
      <c r="P829" s="45"/>
      <c r="Q829" s="45"/>
      <c r="R829" s="45"/>
      <c r="S829" s="43"/>
      <c r="T829" s="43"/>
      <c r="U829" s="43"/>
      <c r="V829" s="43"/>
      <c r="W829" s="43"/>
      <c r="X829" s="43"/>
      <c r="Y829" s="43"/>
      <c r="Z829" s="43"/>
      <c r="AA829" s="43"/>
      <c r="AB829" s="43"/>
      <c r="AC829" s="43"/>
      <c r="AD829" s="43"/>
      <c r="AE829" s="48"/>
      <c r="AF829" s="48"/>
      <c r="AG829" s="48"/>
      <c r="AH829" s="50"/>
    </row>
    <row r="830" spans="8:34" ht="12.5">
      <c r="H830" s="43"/>
      <c r="I830" s="43"/>
      <c r="J830" s="43"/>
      <c r="K830" s="44"/>
      <c r="L830" s="45"/>
      <c r="M830" s="43"/>
      <c r="N830" s="46"/>
      <c r="O830" s="46"/>
      <c r="P830" s="45"/>
      <c r="Q830" s="45"/>
      <c r="R830" s="45"/>
      <c r="S830" s="43"/>
      <c r="T830" s="43"/>
      <c r="U830" s="43"/>
      <c r="V830" s="43"/>
      <c r="W830" s="43"/>
      <c r="X830" s="43"/>
      <c r="Y830" s="43"/>
      <c r="Z830" s="43"/>
      <c r="AA830" s="43"/>
      <c r="AB830" s="43"/>
      <c r="AC830" s="43"/>
      <c r="AD830" s="43"/>
      <c r="AE830" s="48"/>
      <c r="AF830" s="48"/>
      <c r="AG830" s="48"/>
      <c r="AH830" s="50"/>
    </row>
    <row r="831" spans="8:34" ht="12.5">
      <c r="H831" s="43"/>
      <c r="I831" s="43"/>
      <c r="J831" s="43"/>
      <c r="K831" s="44"/>
      <c r="L831" s="45"/>
      <c r="M831" s="43"/>
      <c r="N831" s="46"/>
      <c r="O831" s="46"/>
      <c r="P831" s="45"/>
      <c r="Q831" s="45"/>
      <c r="R831" s="45"/>
      <c r="S831" s="43"/>
      <c r="T831" s="43"/>
      <c r="U831" s="43"/>
      <c r="V831" s="43"/>
      <c r="W831" s="43"/>
      <c r="X831" s="43"/>
      <c r="Y831" s="43"/>
      <c r="Z831" s="43"/>
      <c r="AA831" s="43"/>
      <c r="AB831" s="43"/>
      <c r="AC831" s="43"/>
      <c r="AD831" s="43"/>
      <c r="AE831" s="48"/>
      <c r="AF831" s="48"/>
      <c r="AG831" s="48"/>
      <c r="AH831" s="50"/>
    </row>
    <row r="832" spans="8:34" ht="12.5">
      <c r="H832" s="43"/>
      <c r="I832" s="43"/>
      <c r="J832" s="43"/>
      <c r="K832" s="44"/>
      <c r="L832" s="45"/>
      <c r="M832" s="43"/>
      <c r="N832" s="46"/>
      <c r="O832" s="46"/>
      <c r="P832" s="45"/>
      <c r="Q832" s="45"/>
      <c r="R832" s="45"/>
      <c r="S832" s="43"/>
      <c r="T832" s="43"/>
      <c r="U832" s="43"/>
      <c r="V832" s="43"/>
      <c r="W832" s="43"/>
      <c r="X832" s="43"/>
      <c r="Y832" s="43"/>
      <c r="Z832" s="43"/>
      <c r="AA832" s="43"/>
      <c r="AB832" s="43"/>
      <c r="AC832" s="43"/>
      <c r="AD832" s="43"/>
      <c r="AE832" s="48"/>
      <c r="AF832" s="48"/>
      <c r="AG832" s="48"/>
      <c r="AH832" s="50"/>
    </row>
    <row r="833" spans="8:34" ht="12.5">
      <c r="H833" s="43"/>
      <c r="I833" s="43"/>
      <c r="J833" s="43"/>
      <c r="K833" s="44"/>
      <c r="L833" s="45"/>
      <c r="M833" s="43"/>
      <c r="N833" s="46"/>
      <c r="O833" s="46"/>
      <c r="P833" s="45"/>
      <c r="Q833" s="45"/>
      <c r="R833" s="45"/>
      <c r="S833" s="43"/>
      <c r="T833" s="43"/>
      <c r="U833" s="43"/>
      <c r="V833" s="43"/>
      <c r="W833" s="43"/>
      <c r="X833" s="43"/>
      <c r="Y833" s="43"/>
      <c r="Z833" s="43"/>
      <c r="AA833" s="43"/>
      <c r="AB833" s="43"/>
      <c r="AC833" s="43"/>
      <c r="AD833" s="43"/>
      <c r="AE833" s="48"/>
      <c r="AF833" s="48"/>
      <c r="AG833" s="48"/>
      <c r="AH833" s="50"/>
    </row>
    <row r="834" spans="8:34" ht="12.5">
      <c r="H834" s="43"/>
      <c r="I834" s="43"/>
      <c r="J834" s="43"/>
      <c r="K834" s="44"/>
      <c r="L834" s="45"/>
      <c r="M834" s="43"/>
      <c r="N834" s="46"/>
      <c r="O834" s="46"/>
      <c r="P834" s="45"/>
      <c r="Q834" s="45"/>
      <c r="R834" s="45"/>
      <c r="S834" s="43"/>
      <c r="T834" s="43"/>
      <c r="U834" s="43"/>
      <c r="V834" s="43"/>
      <c r="W834" s="43"/>
      <c r="X834" s="43"/>
      <c r="Y834" s="43"/>
      <c r="Z834" s="43"/>
      <c r="AA834" s="43"/>
      <c r="AB834" s="43"/>
      <c r="AC834" s="43"/>
      <c r="AD834" s="43"/>
      <c r="AE834" s="48"/>
      <c r="AF834" s="48"/>
      <c r="AG834" s="48"/>
      <c r="AH834" s="50"/>
    </row>
    <row r="835" spans="8:34" ht="12.5">
      <c r="H835" s="43"/>
      <c r="I835" s="43"/>
      <c r="J835" s="43"/>
      <c r="K835" s="44"/>
      <c r="L835" s="45"/>
      <c r="M835" s="43"/>
      <c r="N835" s="46"/>
      <c r="O835" s="46"/>
      <c r="P835" s="45"/>
      <c r="Q835" s="45"/>
      <c r="R835" s="45"/>
      <c r="S835" s="43"/>
      <c r="T835" s="43"/>
      <c r="U835" s="43"/>
      <c r="V835" s="43"/>
      <c r="W835" s="43"/>
      <c r="X835" s="43"/>
      <c r="Y835" s="43"/>
      <c r="Z835" s="43"/>
      <c r="AA835" s="43"/>
      <c r="AB835" s="43"/>
      <c r="AC835" s="43"/>
      <c r="AD835" s="43"/>
      <c r="AE835" s="48"/>
      <c r="AF835" s="48"/>
      <c r="AG835" s="48"/>
      <c r="AH835" s="50"/>
    </row>
    <row r="836" spans="8:34" ht="12.5">
      <c r="H836" s="43"/>
      <c r="I836" s="43"/>
      <c r="J836" s="43"/>
      <c r="K836" s="44"/>
      <c r="L836" s="45"/>
      <c r="M836" s="43"/>
      <c r="N836" s="46"/>
      <c r="O836" s="46"/>
      <c r="P836" s="45"/>
      <c r="Q836" s="45"/>
      <c r="R836" s="45"/>
      <c r="S836" s="43"/>
      <c r="T836" s="43"/>
      <c r="U836" s="43"/>
      <c r="V836" s="43"/>
      <c r="W836" s="43"/>
      <c r="X836" s="43"/>
      <c r="Y836" s="43"/>
      <c r="Z836" s="43"/>
      <c r="AA836" s="43"/>
      <c r="AB836" s="43"/>
      <c r="AC836" s="43"/>
      <c r="AD836" s="43"/>
      <c r="AE836" s="48"/>
      <c r="AF836" s="48"/>
      <c r="AG836" s="48"/>
      <c r="AH836" s="50"/>
    </row>
    <row r="837" spans="8:34" ht="12.5">
      <c r="H837" s="43"/>
      <c r="I837" s="43"/>
      <c r="J837" s="43"/>
      <c r="K837" s="44"/>
      <c r="L837" s="45"/>
      <c r="M837" s="43"/>
      <c r="N837" s="46"/>
      <c r="O837" s="46"/>
      <c r="P837" s="45"/>
      <c r="Q837" s="45"/>
      <c r="R837" s="45"/>
      <c r="S837" s="43"/>
      <c r="T837" s="43"/>
      <c r="U837" s="43"/>
      <c r="V837" s="43"/>
      <c r="W837" s="43"/>
      <c r="X837" s="43"/>
      <c r="Y837" s="43"/>
      <c r="Z837" s="43"/>
      <c r="AA837" s="43"/>
      <c r="AB837" s="43"/>
      <c r="AC837" s="43"/>
      <c r="AD837" s="43"/>
      <c r="AE837" s="48"/>
      <c r="AF837" s="48"/>
      <c r="AG837" s="48"/>
      <c r="AH837" s="50"/>
    </row>
    <row r="838" spans="8:34" ht="12.5">
      <c r="H838" s="43"/>
      <c r="I838" s="43"/>
      <c r="J838" s="43"/>
      <c r="K838" s="44"/>
      <c r="L838" s="45"/>
      <c r="M838" s="43"/>
      <c r="N838" s="46"/>
      <c r="O838" s="46"/>
      <c r="P838" s="45"/>
      <c r="Q838" s="45"/>
      <c r="R838" s="45"/>
      <c r="S838" s="43"/>
      <c r="T838" s="43"/>
      <c r="U838" s="43"/>
      <c r="V838" s="43"/>
      <c r="W838" s="43"/>
      <c r="X838" s="43"/>
      <c r="Y838" s="43"/>
      <c r="Z838" s="43"/>
      <c r="AA838" s="43"/>
      <c r="AB838" s="43"/>
      <c r="AC838" s="43"/>
      <c r="AD838" s="43"/>
      <c r="AE838" s="48"/>
      <c r="AF838" s="48"/>
      <c r="AG838" s="48"/>
      <c r="AH838" s="50"/>
    </row>
    <row r="839" spans="8:34" ht="12.5">
      <c r="H839" s="43"/>
      <c r="I839" s="43"/>
      <c r="J839" s="43"/>
      <c r="K839" s="44"/>
      <c r="L839" s="45"/>
      <c r="M839" s="43"/>
      <c r="N839" s="46"/>
      <c r="O839" s="46"/>
      <c r="P839" s="45"/>
      <c r="Q839" s="45"/>
      <c r="R839" s="45"/>
      <c r="S839" s="43"/>
      <c r="T839" s="43"/>
      <c r="U839" s="43"/>
      <c r="V839" s="43"/>
      <c r="W839" s="43"/>
      <c r="X839" s="43"/>
      <c r="Y839" s="43"/>
      <c r="Z839" s="43"/>
      <c r="AA839" s="43"/>
      <c r="AB839" s="43"/>
      <c r="AC839" s="43"/>
      <c r="AD839" s="43"/>
      <c r="AE839" s="48"/>
      <c r="AF839" s="48"/>
      <c r="AG839" s="48"/>
      <c r="AH839" s="50"/>
    </row>
    <row r="840" spans="8:34" ht="12.5">
      <c r="H840" s="43"/>
      <c r="I840" s="43"/>
      <c r="J840" s="43"/>
      <c r="K840" s="44"/>
      <c r="L840" s="45"/>
      <c r="M840" s="43"/>
      <c r="N840" s="46"/>
      <c r="O840" s="46"/>
      <c r="P840" s="45"/>
      <c r="Q840" s="45"/>
      <c r="R840" s="45"/>
      <c r="S840" s="43"/>
      <c r="T840" s="43"/>
      <c r="U840" s="43"/>
      <c r="V840" s="43"/>
      <c r="W840" s="43"/>
      <c r="X840" s="43"/>
      <c r="Y840" s="43"/>
      <c r="Z840" s="43"/>
      <c r="AA840" s="43"/>
      <c r="AB840" s="43"/>
      <c r="AC840" s="43"/>
      <c r="AD840" s="43"/>
      <c r="AE840" s="48"/>
      <c r="AF840" s="48"/>
      <c r="AG840" s="48"/>
      <c r="AH840" s="50"/>
    </row>
    <row r="841" spans="8:34" ht="12.5">
      <c r="H841" s="43"/>
      <c r="I841" s="43"/>
      <c r="J841" s="43"/>
      <c r="K841" s="44"/>
      <c r="L841" s="45"/>
      <c r="M841" s="43"/>
      <c r="N841" s="46"/>
      <c r="O841" s="46"/>
      <c r="P841" s="45"/>
      <c r="Q841" s="45"/>
      <c r="R841" s="45"/>
      <c r="S841" s="43"/>
      <c r="T841" s="43"/>
      <c r="U841" s="43"/>
      <c r="V841" s="43"/>
      <c r="W841" s="43"/>
      <c r="X841" s="43"/>
      <c r="Y841" s="43"/>
      <c r="Z841" s="43"/>
      <c r="AA841" s="43"/>
      <c r="AB841" s="43"/>
      <c r="AC841" s="43"/>
      <c r="AD841" s="43"/>
      <c r="AE841" s="48"/>
      <c r="AF841" s="48"/>
      <c r="AG841" s="48"/>
      <c r="AH841" s="50"/>
    </row>
    <row r="842" spans="8:34" ht="12.5">
      <c r="H842" s="43"/>
      <c r="I842" s="43"/>
      <c r="J842" s="43"/>
      <c r="K842" s="44"/>
      <c r="L842" s="45"/>
      <c r="M842" s="43"/>
      <c r="N842" s="46"/>
      <c r="O842" s="46"/>
      <c r="P842" s="45"/>
      <c r="Q842" s="45"/>
      <c r="R842" s="45"/>
      <c r="S842" s="43"/>
      <c r="T842" s="43"/>
      <c r="U842" s="43"/>
      <c r="V842" s="43"/>
      <c r="W842" s="43"/>
      <c r="X842" s="43"/>
      <c r="Y842" s="43"/>
      <c r="Z842" s="43"/>
      <c r="AA842" s="43"/>
      <c r="AB842" s="43"/>
      <c r="AC842" s="43"/>
      <c r="AD842" s="43"/>
      <c r="AE842" s="48"/>
      <c r="AF842" s="48"/>
      <c r="AG842" s="48"/>
      <c r="AH842" s="50"/>
    </row>
    <row r="843" spans="8:34" ht="12.5">
      <c r="H843" s="43"/>
      <c r="I843" s="43"/>
      <c r="J843" s="43"/>
      <c r="K843" s="44"/>
      <c r="L843" s="45"/>
      <c r="M843" s="43"/>
      <c r="N843" s="46"/>
      <c r="O843" s="46"/>
      <c r="P843" s="45"/>
      <c r="Q843" s="45"/>
      <c r="R843" s="45"/>
      <c r="S843" s="43"/>
      <c r="T843" s="43"/>
      <c r="U843" s="43"/>
      <c r="V843" s="43"/>
      <c r="W843" s="43"/>
      <c r="X843" s="43"/>
      <c r="Y843" s="43"/>
      <c r="Z843" s="43"/>
      <c r="AA843" s="43"/>
      <c r="AB843" s="43"/>
      <c r="AC843" s="43"/>
      <c r="AD843" s="43"/>
      <c r="AE843" s="48"/>
      <c r="AF843" s="48"/>
      <c r="AG843" s="48"/>
      <c r="AH843" s="50"/>
    </row>
    <row r="844" spans="8:34" ht="12.5">
      <c r="H844" s="43"/>
      <c r="I844" s="43"/>
      <c r="J844" s="43"/>
      <c r="K844" s="44"/>
      <c r="L844" s="45"/>
      <c r="M844" s="43"/>
      <c r="N844" s="46"/>
      <c r="O844" s="46"/>
      <c r="P844" s="45"/>
      <c r="Q844" s="45"/>
      <c r="R844" s="45"/>
      <c r="S844" s="43"/>
      <c r="T844" s="43"/>
      <c r="U844" s="43"/>
      <c r="V844" s="43"/>
      <c r="W844" s="43"/>
      <c r="X844" s="43"/>
      <c r="Y844" s="43"/>
      <c r="Z844" s="43"/>
      <c r="AA844" s="43"/>
      <c r="AB844" s="43"/>
      <c r="AC844" s="43"/>
      <c r="AD844" s="43"/>
      <c r="AE844" s="48"/>
      <c r="AF844" s="48"/>
      <c r="AG844" s="48"/>
      <c r="AH844" s="50"/>
    </row>
    <row r="845" spans="8:34" ht="12.5">
      <c r="H845" s="43"/>
      <c r="I845" s="43"/>
      <c r="J845" s="43"/>
      <c r="K845" s="44"/>
      <c r="L845" s="45"/>
      <c r="M845" s="43"/>
      <c r="N845" s="46"/>
      <c r="O845" s="46"/>
      <c r="P845" s="45"/>
      <c r="Q845" s="45"/>
      <c r="R845" s="45"/>
      <c r="S845" s="43"/>
      <c r="T845" s="43"/>
      <c r="U845" s="43"/>
      <c r="V845" s="43"/>
      <c r="W845" s="43"/>
      <c r="X845" s="43"/>
      <c r="Y845" s="43"/>
      <c r="Z845" s="43"/>
      <c r="AA845" s="43"/>
      <c r="AB845" s="43"/>
      <c r="AC845" s="43"/>
      <c r="AD845" s="43"/>
      <c r="AE845" s="48"/>
      <c r="AF845" s="48"/>
      <c r="AG845" s="48"/>
      <c r="AH845" s="50"/>
    </row>
    <row r="846" spans="8:34" ht="12.5">
      <c r="H846" s="43"/>
      <c r="I846" s="43"/>
      <c r="J846" s="43"/>
      <c r="K846" s="44"/>
      <c r="L846" s="45"/>
      <c r="M846" s="43"/>
      <c r="N846" s="46"/>
      <c r="O846" s="46"/>
      <c r="P846" s="45"/>
      <c r="Q846" s="45"/>
      <c r="R846" s="45"/>
      <c r="S846" s="43"/>
      <c r="T846" s="43"/>
      <c r="U846" s="43"/>
      <c r="V846" s="43"/>
      <c r="W846" s="43"/>
      <c r="X846" s="43"/>
      <c r="Y846" s="43"/>
      <c r="Z846" s="43"/>
      <c r="AA846" s="43"/>
      <c r="AB846" s="43"/>
      <c r="AC846" s="43"/>
      <c r="AD846" s="43"/>
      <c r="AE846" s="48"/>
      <c r="AF846" s="48"/>
      <c r="AG846" s="48"/>
      <c r="AH846" s="50"/>
    </row>
    <row r="847" spans="8:34" ht="12.5">
      <c r="H847" s="43"/>
      <c r="I847" s="43"/>
      <c r="J847" s="43"/>
      <c r="K847" s="44"/>
      <c r="L847" s="45"/>
      <c r="M847" s="43"/>
      <c r="N847" s="46"/>
      <c r="O847" s="46"/>
      <c r="P847" s="45"/>
      <c r="Q847" s="45"/>
      <c r="R847" s="45"/>
      <c r="S847" s="43"/>
      <c r="T847" s="43"/>
      <c r="U847" s="43"/>
      <c r="V847" s="43"/>
      <c r="W847" s="43"/>
      <c r="X847" s="43"/>
      <c r="Y847" s="43"/>
      <c r="Z847" s="43"/>
      <c r="AA847" s="43"/>
      <c r="AB847" s="43"/>
      <c r="AC847" s="43"/>
      <c r="AD847" s="43"/>
      <c r="AE847" s="48"/>
      <c r="AF847" s="48"/>
      <c r="AG847" s="48"/>
      <c r="AH847" s="50"/>
    </row>
    <row r="848" spans="8:34" ht="12.5">
      <c r="H848" s="43"/>
      <c r="I848" s="43"/>
      <c r="J848" s="43"/>
      <c r="K848" s="44"/>
      <c r="L848" s="45"/>
      <c r="M848" s="43"/>
      <c r="N848" s="46"/>
      <c r="O848" s="46"/>
      <c r="P848" s="45"/>
      <c r="Q848" s="45"/>
      <c r="R848" s="45"/>
      <c r="S848" s="43"/>
      <c r="T848" s="43"/>
      <c r="U848" s="43"/>
      <c r="V848" s="43"/>
      <c r="W848" s="43"/>
      <c r="X848" s="43"/>
      <c r="Y848" s="43"/>
      <c r="Z848" s="43"/>
      <c r="AA848" s="43"/>
      <c r="AB848" s="43"/>
      <c r="AC848" s="43"/>
      <c r="AD848" s="43"/>
      <c r="AE848" s="48"/>
      <c r="AF848" s="48"/>
      <c r="AG848" s="48"/>
      <c r="AH848" s="50"/>
    </row>
    <row r="849" spans="8:34" ht="12.5">
      <c r="H849" s="43"/>
      <c r="I849" s="43"/>
      <c r="J849" s="43"/>
      <c r="K849" s="44"/>
      <c r="L849" s="45"/>
      <c r="M849" s="43"/>
      <c r="N849" s="46"/>
      <c r="O849" s="46"/>
      <c r="P849" s="45"/>
      <c r="Q849" s="45"/>
      <c r="R849" s="45"/>
      <c r="S849" s="43"/>
      <c r="T849" s="43"/>
      <c r="U849" s="43"/>
      <c r="V849" s="43"/>
      <c r="W849" s="43"/>
      <c r="X849" s="43"/>
      <c r="Y849" s="43"/>
      <c r="Z849" s="43"/>
      <c r="AA849" s="43"/>
      <c r="AB849" s="43"/>
      <c r="AC849" s="43"/>
      <c r="AD849" s="43"/>
      <c r="AE849" s="48"/>
      <c r="AF849" s="48"/>
      <c r="AG849" s="48"/>
      <c r="AH849" s="50"/>
    </row>
    <row r="850" spans="8:34" ht="12.5">
      <c r="H850" s="43"/>
      <c r="I850" s="43"/>
      <c r="J850" s="43"/>
      <c r="K850" s="44"/>
      <c r="L850" s="45"/>
      <c r="M850" s="43"/>
      <c r="N850" s="46"/>
      <c r="O850" s="46"/>
      <c r="P850" s="45"/>
      <c r="Q850" s="45"/>
      <c r="R850" s="45"/>
      <c r="S850" s="43"/>
      <c r="T850" s="43"/>
      <c r="U850" s="43"/>
      <c r="V850" s="43"/>
      <c r="W850" s="43"/>
      <c r="X850" s="43"/>
      <c r="Y850" s="43"/>
      <c r="Z850" s="43"/>
      <c r="AA850" s="43"/>
      <c r="AB850" s="43"/>
      <c r="AC850" s="43"/>
      <c r="AD850" s="43"/>
      <c r="AE850" s="48"/>
      <c r="AF850" s="48"/>
      <c r="AG850" s="48"/>
      <c r="AH850" s="50"/>
    </row>
    <row r="851" spans="8:34" ht="12.5">
      <c r="H851" s="43"/>
      <c r="I851" s="43"/>
      <c r="J851" s="43"/>
      <c r="K851" s="44"/>
      <c r="L851" s="45"/>
      <c r="M851" s="43"/>
      <c r="N851" s="46"/>
      <c r="O851" s="46"/>
      <c r="P851" s="45"/>
      <c r="Q851" s="45"/>
      <c r="R851" s="45"/>
      <c r="S851" s="43"/>
      <c r="T851" s="43"/>
      <c r="U851" s="43"/>
      <c r="V851" s="43"/>
      <c r="W851" s="43"/>
      <c r="X851" s="43"/>
      <c r="Y851" s="43"/>
      <c r="Z851" s="43"/>
      <c r="AA851" s="43"/>
      <c r="AB851" s="43"/>
      <c r="AC851" s="43"/>
      <c r="AD851" s="43"/>
      <c r="AE851" s="48"/>
      <c r="AF851" s="48"/>
      <c r="AG851" s="48"/>
      <c r="AH851" s="50"/>
    </row>
    <row r="852" spans="8:34" ht="12.5">
      <c r="H852" s="43"/>
      <c r="I852" s="43"/>
      <c r="J852" s="43"/>
      <c r="K852" s="44"/>
      <c r="L852" s="45"/>
      <c r="M852" s="43"/>
      <c r="N852" s="46"/>
      <c r="O852" s="46"/>
      <c r="P852" s="45"/>
      <c r="Q852" s="45"/>
      <c r="R852" s="45"/>
      <c r="S852" s="43"/>
      <c r="T852" s="43"/>
      <c r="U852" s="43"/>
      <c r="V852" s="43"/>
      <c r="W852" s="43"/>
      <c r="X852" s="43"/>
      <c r="Y852" s="43"/>
      <c r="Z852" s="43"/>
      <c r="AA852" s="43"/>
      <c r="AB852" s="43"/>
      <c r="AC852" s="43"/>
      <c r="AD852" s="43"/>
      <c r="AE852" s="48"/>
      <c r="AF852" s="48"/>
      <c r="AG852" s="48"/>
      <c r="AH852" s="50"/>
    </row>
    <row r="853" spans="8:34" ht="12.5">
      <c r="H853" s="43"/>
      <c r="I853" s="43"/>
      <c r="J853" s="43"/>
      <c r="K853" s="44"/>
      <c r="L853" s="45"/>
      <c r="M853" s="43"/>
      <c r="N853" s="46"/>
      <c r="O853" s="46"/>
      <c r="P853" s="45"/>
      <c r="Q853" s="45"/>
      <c r="R853" s="45"/>
      <c r="S853" s="43"/>
      <c r="T853" s="43"/>
      <c r="U853" s="43"/>
      <c r="V853" s="43"/>
      <c r="W853" s="43"/>
      <c r="X853" s="43"/>
      <c r="Y853" s="43"/>
      <c r="Z853" s="43"/>
      <c r="AA853" s="43"/>
      <c r="AB853" s="43"/>
      <c r="AC853" s="43"/>
      <c r="AD853" s="43"/>
      <c r="AE853" s="48"/>
      <c r="AF853" s="48"/>
      <c r="AG853" s="48"/>
      <c r="AH853" s="50"/>
    </row>
    <row r="854" spans="8:34" ht="12.5">
      <c r="H854" s="43"/>
      <c r="I854" s="43"/>
      <c r="J854" s="43"/>
      <c r="K854" s="44"/>
      <c r="L854" s="45"/>
      <c r="M854" s="43"/>
      <c r="N854" s="46"/>
      <c r="O854" s="46"/>
      <c r="P854" s="45"/>
      <c r="Q854" s="45"/>
      <c r="R854" s="45"/>
      <c r="S854" s="43"/>
      <c r="T854" s="43"/>
      <c r="U854" s="43"/>
      <c r="V854" s="43"/>
      <c r="W854" s="43"/>
      <c r="X854" s="43"/>
      <c r="Y854" s="43"/>
      <c r="Z854" s="43"/>
      <c r="AA854" s="43"/>
      <c r="AB854" s="43"/>
      <c r="AC854" s="43"/>
      <c r="AD854" s="43"/>
      <c r="AE854" s="48"/>
      <c r="AF854" s="48"/>
      <c r="AG854" s="48"/>
      <c r="AH854" s="50"/>
    </row>
    <row r="855" spans="8:34" ht="12.5">
      <c r="H855" s="43"/>
      <c r="I855" s="43"/>
      <c r="J855" s="43"/>
      <c r="K855" s="44"/>
      <c r="L855" s="45"/>
      <c r="M855" s="43"/>
      <c r="N855" s="46"/>
      <c r="O855" s="46"/>
      <c r="P855" s="45"/>
      <c r="Q855" s="45"/>
      <c r="R855" s="45"/>
      <c r="S855" s="43"/>
      <c r="T855" s="43"/>
      <c r="U855" s="43"/>
      <c r="V855" s="43"/>
      <c r="W855" s="43"/>
      <c r="X855" s="43"/>
      <c r="Y855" s="43"/>
      <c r="Z855" s="43"/>
      <c r="AA855" s="43"/>
      <c r="AB855" s="43"/>
      <c r="AC855" s="43"/>
      <c r="AD855" s="43"/>
      <c r="AE855" s="48"/>
      <c r="AF855" s="48"/>
      <c r="AG855" s="48"/>
      <c r="AH855" s="50"/>
    </row>
    <row r="856" spans="8:34" ht="12.5">
      <c r="H856" s="43"/>
      <c r="I856" s="43"/>
      <c r="J856" s="43"/>
      <c r="K856" s="44"/>
      <c r="L856" s="45"/>
      <c r="M856" s="43"/>
      <c r="N856" s="46"/>
      <c r="O856" s="46"/>
      <c r="P856" s="45"/>
      <c r="Q856" s="45"/>
      <c r="R856" s="45"/>
      <c r="S856" s="43"/>
      <c r="T856" s="43"/>
      <c r="U856" s="43"/>
      <c r="V856" s="43"/>
      <c r="W856" s="43"/>
      <c r="X856" s="43"/>
      <c r="Y856" s="43"/>
      <c r="Z856" s="43"/>
      <c r="AA856" s="43"/>
      <c r="AB856" s="43"/>
      <c r="AC856" s="43"/>
      <c r="AD856" s="43"/>
      <c r="AE856" s="48"/>
      <c r="AF856" s="48"/>
      <c r="AG856" s="48"/>
      <c r="AH856" s="50"/>
    </row>
    <row r="857" spans="8:34" ht="12.5">
      <c r="H857" s="43"/>
      <c r="I857" s="43"/>
      <c r="J857" s="43"/>
      <c r="K857" s="44"/>
      <c r="L857" s="45"/>
      <c r="M857" s="43"/>
      <c r="N857" s="46"/>
      <c r="O857" s="46"/>
      <c r="P857" s="45"/>
      <c r="Q857" s="45"/>
      <c r="R857" s="45"/>
      <c r="S857" s="43"/>
      <c r="T857" s="43"/>
      <c r="U857" s="43"/>
      <c r="V857" s="43"/>
      <c r="W857" s="43"/>
      <c r="X857" s="43"/>
      <c r="Y857" s="43"/>
      <c r="Z857" s="43"/>
      <c r="AA857" s="43"/>
      <c r="AB857" s="43"/>
      <c r="AC857" s="43"/>
      <c r="AD857" s="43"/>
      <c r="AE857" s="48"/>
      <c r="AF857" s="48"/>
      <c r="AG857" s="48"/>
      <c r="AH857" s="50"/>
    </row>
    <row r="858" spans="8:34" ht="12.5">
      <c r="H858" s="43"/>
      <c r="I858" s="43"/>
      <c r="J858" s="43"/>
      <c r="K858" s="44"/>
      <c r="L858" s="45"/>
      <c r="M858" s="43"/>
      <c r="N858" s="46"/>
      <c r="O858" s="46"/>
      <c r="P858" s="45"/>
      <c r="Q858" s="45"/>
      <c r="R858" s="45"/>
      <c r="S858" s="43"/>
      <c r="T858" s="43"/>
      <c r="U858" s="43"/>
      <c r="V858" s="43"/>
      <c r="W858" s="43"/>
      <c r="X858" s="43"/>
      <c r="Y858" s="43"/>
      <c r="Z858" s="43"/>
      <c r="AA858" s="43"/>
      <c r="AB858" s="43"/>
      <c r="AC858" s="43"/>
      <c r="AD858" s="43"/>
      <c r="AE858" s="48"/>
      <c r="AF858" s="48"/>
      <c r="AG858" s="48"/>
      <c r="AH858" s="50"/>
    </row>
    <row r="859" spans="8:34" ht="12.5">
      <c r="H859" s="43"/>
      <c r="I859" s="43"/>
      <c r="J859" s="43"/>
      <c r="K859" s="44"/>
      <c r="L859" s="45"/>
      <c r="M859" s="43"/>
      <c r="N859" s="46"/>
      <c r="O859" s="46"/>
      <c r="P859" s="45"/>
      <c r="Q859" s="45"/>
      <c r="R859" s="45"/>
      <c r="S859" s="43"/>
      <c r="T859" s="43"/>
      <c r="U859" s="43"/>
      <c r="V859" s="43"/>
      <c r="W859" s="43"/>
      <c r="X859" s="43"/>
      <c r="Y859" s="43"/>
      <c r="Z859" s="43"/>
      <c r="AA859" s="43"/>
      <c r="AB859" s="43"/>
      <c r="AC859" s="43"/>
      <c r="AD859" s="43"/>
      <c r="AE859" s="48"/>
      <c r="AF859" s="48"/>
      <c r="AG859" s="48"/>
      <c r="AH859" s="50"/>
    </row>
    <row r="860" spans="8:34" ht="12.5">
      <c r="H860" s="43"/>
      <c r="I860" s="43"/>
      <c r="J860" s="43"/>
      <c r="K860" s="44"/>
      <c r="L860" s="45"/>
      <c r="M860" s="43"/>
      <c r="N860" s="46"/>
      <c r="O860" s="46"/>
      <c r="P860" s="45"/>
      <c r="Q860" s="45"/>
      <c r="R860" s="45"/>
      <c r="S860" s="43"/>
      <c r="T860" s="43"/>
      <c r="U860" s="43"/>
      <c r="V860" s="43"/>
      <c r="W860" s="43"/>
      <c r="X860" s="43"/>
      <c r="Y860" s="43"/>
      <c r="Z860" s="43"/>
      <c r="AA860" s="43"/>
      <c r="AB860" s="43"/>
      <c r="AC860" s="43"/>
      <c r="AD860" s="43"/>
      <c r="AE860" s="48"/>
      <c r="AF860" s="48"/>
      <c r="AG860" s="48"/>
      <c r="AH860" s="50"/>
    </row>
    <row r="861" spans="8:34" ht="12.5">
      <c r="H861" s="43"/>
      <c r="I861" s="43"/>
      <c r="J861" s="43"/>
      <c r="K861" s="44"/>
      <c r="L861" s="45"/>
      <c r="M861" s="43"/>
      <c r="N861" s="46"/>
      <c r="O861" s="46"/>
      <c r="P861" s="45"/>
      <c r="Q861" s="45"/>
      <c r="R861" s="45"/>
      <c r="S861" s="43"/>
      <c r="T861" s="43"/>
      <c r="U861" s="43"/>
      <c r="V861" s="43"/>
      <c r="W861" s="43"/>
      <c r="X861" s="43"/>
      <c r="Y861" s="43"/>
      <c r="Z861" s="43"/>
      <c r="AA861" s="43"/>
      <c r="AB861" s="43"/>
      <c r="AC861" s="43"/>
      <c r="AD861" s="43"/>
      <c r="AE861" s="48"/>
      <c r="AF861" s="48"/>
      <c r="AG861" s="48"/>
      <c r="AH861" s="50"/>
    </row>
    <row r="862" spans="8:34" ht="12.5">
      <c r="H862" s="43"/>
      <c r="I862" s="43"/>
      <c r="J862" s="43"/>
      <c r="K862" s="44"/>
      <c r="L862" s="45"/>
      <c r="M862" s="43"/>
      <c r="N862" s="46"/>
      <c r="O862" s="46"/>
      <c r="P862" s="45"/>
      <c r="Q862" s="45"/>
      <c r="R862" s="45"/>
      <c r="S862" s="43"/>
      <c r="T862" s="43"/>
      <c r="U862" s="43"/>
      <c r="V862" s="43"/>
      <c r="W862" s="43"/>
      <c r="X862" s="43"/>
      <c r="Y862" s="43"/>
      <c r="Z862" s="43"/>
      <c r="AA862" s="43"/>
      <c r="AB862" s="43"/>
      <c r="AC862" s="43"/>
      <c r="AD862" s="43"/>
      <c r="AE862" s="48"/>
      <c r="AF862" s="48"/>
      <c r="AG862" s="48"/>
      <c r="AH862" s="50"/>
    </row>
    <row r="863" spans="8:34" ht="12.5">
      <c r="H863" s="43"/>
      <c r="I863" s="43"/>
      <c r="J863" s="43"/>
      <c r="K863" s="44"/>
      <c r="L863" s="45"/>
      <c r="M863" s="43"/>
      <c r="N863" s="46"/>
      <c r="O863" s="46"/>
      <c r="P863" s="45"/>
      <c r="Q863" s="45"/>
      <c r="R863" s="45"/>
      <c r="S863" s="43"/>
      <c r="T863" s="43"/>
      <c r="U863" s="43"/>
      <c r="V863" s="43"/>
      <c r="W863" s="43"/>
      <c r="X863" s="43"/>
      <c r="Y863" s="43"/>
      <c r="Z863" s="43"/>
      <c r="AA863" s="43"/>
      <c r="AB863" s="43"/>
      <c r="AC863" s="43"/>
      <c r="AD863" s="43"/>
      <c r="AE863" s="48"/>
      <c r="AF863" s="48"/>
      <c r="AG863" s="48"/>
      <c r="AH863" s="50"/>
    </row>
    <row r="864" spans="8:34" ht="12.5">
      <c r="H864" s="43"/>
      <c r="I864" s="43"/>
      <c r="J864" s="43"/>
      <c r="K864" s="44"/>
      <c r="L864" s="45"/>
      <c r="M864" s="43"/>
      <c r="N864" s="46"/>
      <c r="O864" s="46"/>
      <c r="P864" s="45"/>
      <c r="Q864" s="45"/>
      <c r="R864" s="45"/>
      <c r="S864" s="43"/>
      <c r="T864" s="43"/>
      <c r="U864" s="43"/>
      <c r="V864" s="43"/>
      <c r="W864" s="43"/>
      <c r="X864" s="43"/>
      <c r="Y864" s="43"/>
      <c r="Z864" s="43"/>
      <c r="AA864" s="43"/>
      <c r="AB864" s="43"/>
      <c r="AC864" s="43"/>
      <c r="AD864" s="43"/>
      <c r="AE864" s="48"/>
      <c r="AF864" s="48"/>
      <c r="AG864" s="48"/>
      <c r="AH864" s="50"/>
    </row>
    <row r="865" spans="8:34" ht="12.5">
      <c r="H865" s="43"/>
      <c r="I865" s="43"/>
      <c r="J865" s="43"/>
      <c r="K865" s="44"/>
      <c r="L865" s="45"/>
      <c r="M865" s="43"/>
      <c r="N865" s="46"/>
      <c r="O865" s="46"/>
      <c r="P865" s="45"/>
      <c r="Q865" s="45"/>
      <c r="R865" s="45"/>
      <c r="S865" s="43"/>
      <c r="T865" s="43"/>
      <c r="U865" s="43"/>
      <c r="V865" s="43"/>
      <c r="W865" s="43"/>
      <c r="X865" s="43"/>
      <c r="Y865" s="43"/>
      <c r="Z865" s="43"/>
      <c r="AA865" s="43"/>
      <c r="AB865" s="43"/>
      <c r="AC865" s="43"/>
      <c r="AD865" s="43"/>
      <c r="AE865" s="48"/>
      <c r="AF865" s="48"/>
      <c r="AG865" s="48"/>
      <c r="AH865" s="50"/>
    </row>
    <row r="866" spans="8:34" ht="12.5">
      <c r="H866" s="43"/>
      <c r="I866" s="43"/>
      <c r="J866" s="43"/>
      <c r="K866" s="44"/>
      <c r="L866" s="45"/>
      <c r="M866" s="43"/>
      <c r="N866" s="46"/>
      <c r="O866" s="46"/>
      <c r="P866" s="45"/>
      <c r="Q866" s="45"/>
      <c r="R866" s="45"/>
      <c r="S866" s="43"/>
      <c r="T866" s="43"/>
      <c r="U866" s="43"/>
      <c r="V866" s="43"/>
      <c r="W866" s="43"/>
      <c r="X866" s="43"/>
      <c r="Y866" s="43"/>
      <c r="Z866" s="43"/>
      <c r="AA866" s="43"/>
      <c r="AB866" s="43"/>
      <c r="AC866" s="43"/>
      <c r="AD866" s="43"/>
      <c r="AE866" s="48"/>
      <c r="AF866" s="48"/>
      <c r="AG866" s="48"/>
      <c r="AH866" s="50"/>
    </row>
    <row r="867" spans="8:34" ht="12.5">
      <c r="H867" s="43"/>
      <c r="I867" s="43"/>
      <c r="J867" s="43"/>
      <c r="K867" s="44"/>
      <c r="L867" s="45"/>
      <c r="M867" s="43"/>
      <c r="N867" s="46"/>
      <c r="O867" s="46"/>
      <c r="P867" s="45"/>
      <c r="Q867" s="45"/>
      <c r="R867" s="45"/>
      <c r="S867" s="43"/>
      <c r="T867" s="43"/>
      <c r="U867" s="43"/>
      <c r="V867" s="43"/>
      <c r="W867" s="43"/>
      <c r="X867" s="43"/>
      <c r="Y867" s="43"/>
      <c r="Z867" s="43"/>
      <c r="AA867" s="43"/>
      <c r="AB867" s="43"/>
      <c r="AC867" s="43"/>
      <c r="AD867" s="43"/>
      <c r="AE867" s="48"/>
      <c r="AF867" s="48"/>
      <c r="AG867" s="48"/>
      <c r="AH867" s="50"/>
    </row>
    <row r="868" spans="8:34" ht="12.5">
      <c r="H868" s="43"/>
      <c r="I868" s="43"/>
      <c r="J868" s="43"/>
      <c r="K868" s="44"/>
      <c r="L868" s="45"/>
      <c r="M868" s="43"/>
      <c r="N868" s="46"/>
      <c r="O868" s="46"/>
      <c r="P868" s="45"/>
      <c r="Q868" s="45"/>
      <c r="R868" s="45"/>
      <c r="S868" s="43"/>
      <c r="T868" s="43"/>
      <c r="U868" s="43"/>
      <c r="V868" s="43"/>
      <c r="W868" s="43"/>
      <c r="X868" s="43"/>
      <c r="Y868" s="43"/>
      <c r="Z868" s="43"/>
      <c r="AA868" s="43"/>
      <c r="AB868" s="43"/>
      <c r="AC868" s="43"/>
      <c r="AD868" s="43"/>
      <c r="AE868" s="48"/>
      <c r="AF868" s="48"/>
      <c r="AG868" s="48"/>
      <c r="AH868" s="50"/>
    </row>
    <row r="869" spans="8:34" ht="12.5">
      <c r="H869" s="43"/>
      <c r="I869" s="43"/>
      <c r="J869" s="43"/>
      <c r="K869" s="44"/>
      <c r="L869" s="45"/>
      <c r="M869" s="43"/>
      <c r="N869" s="46"/>
      <c r="O869" s="46"/>
      <c r="P869" s="45"/>
      <c r="Q869" s="45"/>
      <c r="R869" s="45"/>
      <c r="S869" s="43"/>
      <c r="T869" s="43"/>
      <c r="U869" s="43"/>
      <c r="V869" s="43"/>
      <c r="W869" s="43"/>
      <c r="X869" s="43"/>
      <c r="Y869" s="43"/>
      <c r="Z869" s="43"/>
      <c r="AA869" s="43"/>
      <c r="AB869" s="43"/>
      <c r="AC869" s="43"/>
      <c r="AD869" s="43"/>
      <c r="AE869" s="48"/>
      <c r="AF869" s="48"/>
      <c r="AG869" s="48"/>
      <c r="AH869" s="50"/>
    </row>
    <row r="870" spans="8:34" ht="12.5">
      <c r="H870" s="43"/>
      <c r="I870" s="43"/>
      <c r="J870" s="43"/>
      <c r="K870" s="44"/>
      <c r="L870" s="45"/>
      <c r="M870" s="43"/>
      <c r="N870" s="46"/>
      <c r="O870" s="46"/>
      <c r="P870" s="45"/>
      <c r="Q870" s="45"/>
      <c r="R870" s="45"/>
      <c r="S870" s="43"/>
      <c r="T870" s="43"/>
      <c r="U870" s="43"/>
      <c r="V870" s="43"/>
      <c r="W870" s="43"/>
      <c r="X870" s="43"/>
      <c r="Y870" s="43"/>
      <c r="Z870" s="43"/>
      <c r="AA870" s="43"/>
      <c r="AB870" s="43"/>
      <c r="AC870" s="43"/>
      <c r="AD870" s="43"/>
      <c r="AE870" s="48"/>
      <c r="AF870" s="48"/>
      <c r="AG870" s="48"/>
      <c r="AH870" s="50"/>
    </row>
    <row r="871" spans="8:34" ht="12.5">
      <c r="H871" s="43"/>
      <c r="I871" s="43"/>
      <c r="J871" s="43"/>
      <c r="K871" s="44"/>
      <c r="L871" s="45"/>
      <c r="M871" s="43"/>
      <c r="N871" s="46"/>
      <c r="O871" s="46"/>
      <c r="P871" s="45"/>
      <c r="Q871" s="45"/>
      <c r="R871" s="45"/>
      <c r="S871" s="43"/>
      <c r="T871" s="43"/>
      <c r="U871" s="43"/>
      <c r="V871" s="43"/>
      <c r="W871" s="43"/>
      <c r="X871" s="43"/>
      <c r="Y871" s="43"/>
      <c r="Z871" s="43"/>
      <c r="AA871" s="43"/>
      <c r="AB871" s="43"/>
      <c r="AC871" s="43"/>
      <c r="AD871" s="43"/>
      <c r="AE871" s="48"/>
      <c r="AF871" s="48"/>
      <c r="AG871" s="48"/>
      <c r="AH871" s="50"/>
    </row>
    <row r="872" spans="8:34" ht="12.5">
      <c r="H872" s="43"/>
      <c r="I872" s="43"/>
      <c r="J872" s="43"/>
      <c r="K872" s="44"/>
      <c r="L872" s="45"/>
      <c r="M872" s="43"/>
      <c r="N872" s="46"/>
      <c r="O872" s="46"/>
      <c r="P872" s="45"/>
      <c r="Q872" s="45"/>
      <c r="R872" s="45"/>
      <c r="S872" s="43"/>
      <c r="T872" s="43"/>
      <c r="U872" s="43"/>
      <c r="V872" s="43"/>
      <c r="W872" s="43"/>
      <c r="X872" s="43"/>
      <c r="Y872" s="43"/>
      <c r="Z872" s="43"/>
      <c r="AA872" s="43"/>
      <c r="AB872" s="43"/>
      <c r="AC872" s="43"/>
      <c r="AD872" s="43"/>
      <c r="AE872" s="48"/>
      <c r="AF872" s="48"/>
      <c r="AG872" s="48"/>
      <c r="AH872" s="50"/>
    </row>
    <row r="873" spans="8:34" ht="12.5">
      <c r="H873" s="43"/>
      <c r="I873" s="43"/>
      <c r="J873" s="43"/>
      <c r="K873" s="44"/>
      <c r="L873" s="45"/>
      <c r="M873" s="43"/>
      <c r="N873" s="46"/>
      <c r="O873" s="46"/>
      <c r="P873" s="45"/>
      <c r="Q873" s="45"/>
      <c r="R873" s="45"/>
      <c r="S873" s="43"/>
      <c r="T873" s="43"/>
      <c r="U873" s="43"/>
      <c r="V873" s="43"/>
      <c r="W873" s="43"/>
      <c r="X873" s="43"/>
      <c r="Y873" s="43"/>
      <c r="Z873" s="43"/>
      <c r="AA873" s="43"/>
      <c r="AB873" s="43"/>
      <c r="AC873" s="43"/>
      <c r="AD873" s="43"/>
      <c r="AE873" s="48"/>
      <c r="AF873" s="48"/>
      <c r="AG873" s="48"/>
      <c r="AH873" s="50"/>
    </row>
    <row r="874" spans="8:34" ht="12.5">
      <c r="H874" s="43"/>
      <c r="I874" s="43"/>
      <c r="J874" s="43"/>
      <c r="K874" s="44"/>
      <c r="L874" s="45"/>
      <c r="M874" s="43"/>
      <c r="N874" s="46"/>
      <c r="O874" s="46"/>
      <c r="P874" s="45"/>
      <c r="Q874" s="45"/>
      <c r="R874" s="45"/>
      <c r="S874" s="43"/>
      <c r="T874" s="43"/>
      <c r="U874" s="43"/>
      <c r="V874" s="43"/>
      <c r="W874" s="43"/>
      <c r="X874" s="43"/>
      <c r="Y874" s="43"/>
      <c r="Z874" s="43"/>
      <c r="AA874" s="43"/>
      <c r="AB874" s="43"/>
      <c r="AC874" s="43"/>
      <c r="AD874" s="43"/>
      <c r="AE874" s="48"/>
      <c r="AF874" s="48"/>
      <c r="AG874" s="48"/>
      <c r="AH874" s="50"/>
    </row>
    <row r="875" spans="8:34" ht="12.5">
      <c r="H875" s="43"/>
      <c r="I875" s="43"/>
      <c r="J875" s="43"/>
      <c r="K875" s="44"/>
      <c r="L875" s="45"/>
      <c r="M875" s="43"/>
      <c r="N875" s="46"/>
      <c r="O875" s="46"/>
      <c r="P875" s="45"/>
      <c r="Q875" s="45"/>
      <c r="R875" s="45"/>
      <c r="S875" s="43"/>
      <c r="T875" s="43"/>
      <c r="U875" s="43"/>
      <c r="V875" s="43"/>
      <c r="W875" s="43"/>
      <c r="X875" s="43"/>
      <c r="Y875" s="43"/>
      <c r="Z875" s="43"/>
      <c r="AA875" s="43"/>
      <c r="AB875" s="43"/>
      <c r="AC875" s="43"/>
      <c r="AD875" s="43"/>
      <c r="AE875" s="48"/>
      <c r="AF875" s="48"/>
      <c r="AG875" s="48"/>
      <c r="AH875" s="50"/>
    </row>
    <row r="876" spans="8:34" ht="12.5">
      <c r="H876" s="43"/>
      <c r="I876" s="43"/>
      <c r="J876" s="43"/>
      <c r="K876" s="44"/>
      <c r="L876" s="45"/>
      <c r="M876" s="43"/>
      <c r="N876" s="46"/>
      <c r="O876" s="46"/>
      <c r="P876" s="45"/>
      <c r="Q876" s="45"/>
      <c r="R876" s="45"/>
      <c r="S876" s="43"/>
      <c r="T876" s="43"/>
      <c r="U876" s="43"/>
      <c r="V876" s="43"/>
      <c r="W876" s="43"/>
      <c r="X876" s="43"/>
      <c r="Y876" s="43"/>
      <c r="Z876" s="43"/>
      <c r="AA876" s="43"/>
      <c r="AB876" s="43"/>
      <c r="AC876" s="43"/>
      <c r="AD876" s="43"/>
      <c r="AE876" s="48"/>
      <c r="AF876" s="48"/>
      <c r="AG876" s="48"/>
      <c r="AH876" s="50"/>
    </row>
    <row r="877" spans="8:34" ht="12.5">
      <c r="H877" s="43"/>
      <c r="I877" s="43"/>
      <c r="J877" s="43"/>
      <c r="K877" s="44"/>
      <c r="L877" s="45"/>
      <c r="M877" s="43"/>
      <c r="N877" s="46"/>
      <c r="O877" s="46"/>
      <c r="P877" s="45"/>
      <c r="Q877" s="45"/>
      <c r="R877" s="45"/>
      <c r="S877" s="43"/>
      <c r="T877" s="43"/>
      <c r="U877" s="43"/>
      <c r="V877" s="43"/>
      <c r="W877" s="43"/>
      <c r="X877" s="43"/>
      <c r="Y877" s="43"/>
      <c r="Z877" s="43"/>
      <c r="AA877" s="43"/>
      <c r="AB877" s="43"/>
      <c r="AC877" s="43"/>
      <c r="AD877" s="43"/>
      <c r="AE877" s="48"/>
      <c r="AF877" s="48"/>
      <c r="AG877" s="48"/>
      <c r="AH877" s="50"/>
    </row>
    <row r="878" spans="8:34" ht="12.5">
      <c r="H878" s="43"/>
      <c r="I878" s="43"/>
      <c r="J878" s="43"/>
      <c r="K878" s="44"/>
      <c r="L878" s="45"/>
      <c r="M878" s="43"/>
      <c r="N878" s="46"/>
      <c r="O878" s="46"/>
      <c r="P878" s="45"/>
      <c r="Q878" s="45"/>
      <c r="R878" s="45"/>
      <c r="S878" s="43"/>
      <c r="T878" s="43"/>
      <c r="U878" s="43"/>
      <c r="V878" s="43"/>
      <c r="W878" s="43"/>
      <c r="X878" s="43"/>
      <c r="Y878" s="43"/>
      <c r="Z878" s="43"/>
      <c r="AA878" s="43"/>
      <c r="AB878" s="43"/>
      <c r="AC878" s="43"/>
      <c r="AD878" s="43"/>
      <c r="AE878" s="48"/>
      <c r="AF878" s="48"/>
      <c r="AG878" s="48"/>
      <c r="AH878" s="50"/>
    </row>
    <row r="879" spans="8:34" ht="12.5">
      <c r="H879" s="43"/>
      <c r="I879" s="43"/>
      <c r="J879" s="43"/>
      <c r="K879" s="44"/>
      <c r="L879" s="45"/>
      <c r="M879" s="43"/>
      <c r="N879" s="46"/>
      <c r="O879" s="46"/>
      <c r="P879" s="45"/>
      <c r="Q879" s="45"/>
      <c r="R879" s="45"/>
      <c r="S879" s="43"/>
      <c r="T879" s="43"/>
      <c r="U879" s="43"/>
      <c r="V879" s="43"/>
      <c r="W879" s="43"/>
      <c r="X879" s="43"/>
      <c r="Y879" s="43"/>
      <c r="Z879" s="43"/>
      <c r="AA879" s="43"/>
      <c r="AB879" s="43"/>
      <c r="AC879" s="43"/>
      <c r="AD879" s="43"/>
      <c r="AE879" s="48"/>
      <c r="AF879" s="48"/>
      <c r="AG879" s="48"/>
      <c r="AH879" s="50"/>
    </row>
    <row r="880" spans="8:34" ht="12.5">
      <c r="H880" s="43"/>
      <c r="I880" s="43"/>
      <c r="J880" s="43"/>
      <c r="K880" s="44"/>
      <c r="L880" s="45"/>
      <c r="M880" s="43"/>
      <c r="N880" s="46"/>
      <c r="O880" s="46"/>
      <c r="P880" s="45"/>
      <c r="Q880" s="45"/>
      <c r="R880" s="45"/>
      <c r="S880" s="43"/>
      <c r="T880" s="43"/>
      <c r="U880" s="43"/>
      <c r="V880" s="43"/>
      <c r="W880" s="43"/>
      <c r="X880" s="43"/>
      <c r="Y880" s="43"/>
      <c r="Z880" s="43"/>
      <c r="AA880" s="43"/>
      <c r="AB880" s="43"/>
      <c r="AC880" s="43"/>
      <c r="AD880" s="43"/>
      <c r="AE880" s="48"/>
      <c r="AF880" s="48"/>
      <c r="AG880" s="48"/>
      <c r="AH880" s="50"/>
    </row>
    <row r="881" spans="8:34" ht="12.5">
      <c r="H881" s="43"/>
      <c r="I881" s="43"/>
      <c r="J881" s="43"/>
      <c r="K881" s="44"/>
      <c r="L881" s="45"/>
      <c r="M881" s="43"/>
      <c r="N881" s="46"/>
      <c r="O881" s="46"/>
      <c r="P881" s="45"/>
      <c r="Q881" s="45"/>
      <c r="R881" s="45"/>
      <c r="S881" s="43"/>
      <c r="T881" s="43"/>
      <c r="U881" s="43"/>
      <c r="V881" s="43"/>
      <c r="W881" s="43"/>
      <c r="X881" s="43"/>
      <c r="Y881" s="43"/>
      <c r="Z881" s="43"/>
      <c r="AA881" s="43"/>
      <c r="AB881" s="43"/>
      <c r="AC881" s="43"/>
      <c r="AD881" s="43"/>
      <c r="AE881" s="48"/>
      <c r="AF881" s="48"/>
      <c r="AG881" s="48"/>
      <c r="AH881" s="50"/>
    </row>
    <row r="882" spans="8:34" ht="12.5">
      <c r="H882" s="43"/>
      <c r="I882" s="43"/>
      <c r="J882" s="43"/>
      <c r="K882" s="44"/>
      <c r="L882" s="45"/>
      <c r="M882" s="43"/>
      <c r="N882" s="46"/>
      <c r="O882" s="46"/>
      <c r="P882" s="45"/>
      <c r="Q882" s="45"/>
      <c r="R882" s="45"/>
      <c r="S882" s="43"/>
      <c r="T882" s="43"/>
      <c r="U882" s="43"/>
      <c r="V882" s="43"/>
      <c r="W882" s="43"/>
      <c r="X882" s="43"/>
      <c r="Y882" s="43"/>
      <c r="Z882" s="43"/>
      <c r="AA882" s="43"/>
      <c r="AB882" s="43"/>
      <c r="AC882" s="43"/>
      <c r="AD882" s="43"/>
      <c r="AE882" s="48"/>
      <c r="AF882" s="48"/>
      <c r="AG882" s="48"/>
      <c r="AH882" s="50"/>
    </row>
    <row r="883" spans="8:34" ht="12.5">
      <c r="H883" s="43"/>
      <c r="I883" s="43"/>
      <c r="J883" s="43"/>
      <c r="K883" s="44"/>
      <c r="L883" s="45"/>
      <c r="M883" s="43"/>
      <c r="N883" s="46"/>
      <c r="O883" s="46"/>
      <c r="P883" s="45"/>
      <c r="Q883" s="45"/>
      <c r="R883" s="45"/>
      <c r="S883" s="43"/>
      <c r="T883" s="43"/>
      <c r="U883" s="43"/>
      <c r="V883" s="43"/>
      <c r="W883" s="43"/>
      <c r="X883" s="43"/>
      <c r="Y883" s="43"/>
      <c r="Z883" s="43"/>
      <c r="AA883" s="43"/>
      <c r="AB883" s="43"/>
      <c r="AC883" s="43"/>
      <c r="AD883" s="43"/>
      <c r="AE883" s="48"/>
      <c r="AF883" s="48"/>
      <c r="AG883" s="48"/>
      <c r="AH883" s="50"/>
    </row>
    <row r="884" spans="8:34" ht="12.5">
      <c r="H884" s="43"/>
      <c r="I884" s="43"/>
      <c r="J884" s="43"/>
      <c r="K884" s="44"/>
      <c r="L884" s="45"/>
      <c r="M884" s="43"/>
      <c r="N884" s="46"/>
      <c r="O884" s="46"/>
      <c r="P884" s="45"/>
      <c r="Q884" s="45"/>
      <c r="R884" s="45"/>
      <c r="S884" s="43"/>
      <c r="T884" s="43"/>
      <c r="U884" s="43"/>
      <c r="V884" s="43"/>
      <c r="W884" s="43"/>
      <c r="X884" s="43"/>
      <c r="Y884" s="43"/>
      <c r="Z884" s="43"/>
      <c r="AA884" s="43"/>
      <c r="AB884" s="43"/>
      <c r="AC884" s="43"/>
      <c r="AD884" s="43"/>
      <c r="AE884" s="48"/>
      <c r="AF884" s="48"/>
      <c r="AG884" s="48"/>
      <c r="AH884" s="50"/>
    </row>
    <row r="885" spans="8:34" ht="12.5">
      <c r="H885" s="43"/>
      <c r="I885" s="43"/>
      <c r="J885" s="43"/>
      <c r="K885" s="44"/>
      <c r="L885" s="45"/>
      <c r="M885" s="43"/>
      <c r="N885" s="46"/>
      <c r="O885" s="46"/>
      <c r="P885" s="45"/>
      <c r="Q885" s="45"/>
      <c r="R885" s="45"/>
      <c r="S885" s="43"/>
      <c r="T885" s="43"/>
      <c r="U885" s="43"/>
      <c r="V885" s="43"/>
      <c r="W885" s="43"/>
      <c r="X885" s="43"/>
      <c r="Y885" s="43"/>
      <c r="Z885" s="43"/>
      <c r="AA885" s="43"/>
      <c r="AB885" s="43"/>
      <c r="AC885" s="43"/>
      <c r="AD885" s="43"/>
      <c r="AE885" s="48"/>
      <c r="AF885" s="48"/>
      <c r="AG885" s="48"/>
      <c r="AH885" s="50"/>
    </row>
    <row r="886" spans="8:34" ht="12.5">
      <c r="H886" s="43"/>
      <c r="I886" s="43"/>
      <c r="J886" s="43"/>
      <c r="K886" s="44"/>
      <c r="L886" s="45"/>
      <c r="M886" s="43"/>
      <c r="N886" s="46"/>
      <c r="O886" s="46"/>
      <c r="P886" s="45"/>
      <c r="Q886" s="45"/>
      <c r="R886" s="45"/>
      <c r="S886" s="43"/>
      <c r="T886" s="43"/>
      <c r="U886" s="43"/>
      <c r="V886" s="43"/>
      <c r="W886" s="43"/>
      <c r="X886" s="43"/>
      <c r="Y886" s="43"/>
      <c r="Z886" s="43"/>
      <c r="AA886" s="43"/>
      <c r="AB886" s="43"/>
      <c r="AC886" s="43"/>
      <c r="AD886" s="43"/>
      <c r="AE886" s="48"/>
      <c r="AF886" s="48"/>
      <c r="AG886" s="48"/>
      <c r="AH886" s="50"/>
    </row>
    <row r="887" spans="8:34" ht="12.5">
      <c r="H887" s="43"/>
      <c r="I887" s="43"/>
      <c r="J887" s="43"/>
      <c r="K887" s="44"/>
      <c r="L887" s="45"/>
      <c r="M887" s="43"/>
      <c r="N887" s="46"/>
      <c r="O887" s="46"/>
      <c r="P887" s="45"/>
      <c r="Q887" s="45"/>
      <c r="R887" s="45"/>
      <c r="S887" s="43"/>
      <c r="T887" s="43"/>
      <c r="U887" s="43"/>
      <c r="V887" s="43"/>
      <c r="W887" s="43"/>
      <c r="X887" s="43"/>
      <c r="Y887" s="43"/>
      <c r="Z887" s="43"/>
      <c r="AA887" s="43"/>
      <c r="AB887" s="43"/>
      <c r="AC887" s="43"/>
      <c r="AD887" s="43"/>
      <c r="AE887" s="48"/>
      <c r="AF887" s="48"/>
      <c r="AG887" s="48"/>
      <c r="AH887" s="50"/>
    </row>
    <row r="888" spans="8:34" ht="12.5">
      <c r="H888" s="43"/>
      <c r="I888" s="43"/>
      <c r="J888" s="43"/>
      <c r="K888" s="44"/>
      <c r="L888" s="45"/>
      <c r="M888" s="43"/>
      <c r="N888" s="46"/>
      <c r="O888" s="46"/>
      <c r="P888" s="45"/>
      <c r="Q888" s="45"/>
      <c r="R888" s="45"/>
      <c r="S888" s="43"/>
      <c r="T888" s="43"/>
      <c r="U888" s="43"/>
      <c r="V888" s="43"/>
      <c r="W888" s="43"/>
      <c r="X888" s="43"/>
      <c r="Y888" s="43"/>
      <c r="Z888" s="43"/>
      <c r="AA888" s="43"/>
      <c r="AB888" s="43"/>
      <c r="AC888" s="43"/>
      <c r="AD888" s="43"/>
      <c r="AE888" s="48"/>
      <c r="AF888" s="48"/>
      <c r="AG888" s="48"/>
      <c r="AH888" s="50"/>
    </row>
    <row r="889" spans="8:34" ht="12.5">
      <c r="H889" s="43"/>
      <c r="I889" s="43"/>
      <c r="J889" s="43"/>
      <c r="K889" s="44"/>
      <c r="L889" s="45"/>
      <c r="M889" s="43"/>
      <c r="N889" s="46"/>
      <c r="O889" s="46"/>
      <c r="P889" s="45"/>
      <c r="Q889" s="45"/>
      <c r="R889" s="45"/>
      <c r="S889" s="43"/>
      <c r="T889" s="43"/>
      <c r="U889" s="43"/>
      <c r="V889" s="43"/>
      <c r="W889" s="43"/>
      <c r="X889" s="43"/>
      <c r="Y889" s="43"/>
      <c r="Z889" s="43"/>
      <c r="AA889" s="43"/>
      <c r="AB889" s="43"/>
      <c r="AC889" s="43"/>
      <c r="AD889" s="43"/>
      <c r="AE889" s="48"/>
      <c r="AF889" s="48"/>
      <c r="AG889" s="48"/>
      <c r="AH889" s="50"/>
    </row>
    <row r="890" spans="8:34" ht="12.5">
      <c r="H890" s="43"/>
      <c r="I890" s="43"/>
      <c r="J890" s="43"/>
      <c r="K890" s="44"/>
      <c r="L890" s="45"/>
      <c r="M890" s="43"/>
      <c r="N890" s="46"/>
      <c r="O890" s="46"/>
      <c r="P890" s="45"/>
      <c r="Q890" s="45"/>
      <c r="R890" s="45"/>
      <c r="S890" s="43"/>
      <c r="T890" s="43"/>
      <c r="U890" s="43"/>
      <c r="V890" s="43"/>
      <c r="W890" s="43"/>
      <c r="X890" s="43"/>
      <c r="Y890" s="43"/>
      <c r="Z890" s="43"/>
      <c r="AA890" s="43"/>
      <c r="AB890" s="43"/>
      <c r="AC890" s="43"/>
      <c r="AD890" s="43"/>
      <c r="AE890" s="48"/>
      <c r="AF890" s="48"/>
      <c r="AG890" s="48"/>
      <c r="AH890" s="50"/>
    </row>
    <row r="891" spans="8:34" ht="12.5">
      <c r="H891" s="43"/>
      <c r="I891" s="43"/>
      <c r="J891" s="43"/>
      <c r="K891" s="44"/>
      <c r="L891" s="45"/>
      <c r="M891" s="43"/>
      <c r="N891" s="46"/>
      <c r="O891" s="46"/>
      <c r="P891" s="45"/>
      <c r="Q891" s="45"/>
      <c r="R891" s="45"/>
      <c r="S891" s="43"/>
      <c r="T891" s="43"/>
      <c r="U891" s="43"/>
      <c r="V891" s="43"/>
      <c r="W891" s="43"/>
      <c r="X891" s="43"/>
      <c r="Y891" s="43"/>
      <c r="Z891" s="43"/>
      <c r="AA891" s="43"/>
      <c r="AB891" s="43"/>
      <c r="AC891" s="43"/>
      <c r="AD891" s="43"/>
      <c r="AE891" s="48"/>
      <c r="AF891" s="48"/>
      <c r="AG891" s="48"/>
      <c r="AH891" s="50"/>
    </row>
    <row r="892" spans="8:34" ht="12.5">
      <c r="H892" s="43"/>
      <c r="I892" s="43"/>
      <c r="J892" s="43"/>
      <c r="K892" s="44"/>
      <c r="L892" s="45"/>
      <c r="M892" s="43"/>
      <c r="N892" s="46"/>
      <c r="O892" s="46"/>
      <c r="P892" s="45"/>
      <c r="Q892" s="45"/>
      <c r="R892" s="45"/>
      <c r="S892" s="43"/>
      <c r="T892" s="43"/>
      <c r="U892" s="43"/>
      <c r="V892" s="43"/>
      <c r="W892" s="43"/>
      <c r="X892" s="43"/>
      <c r="Y892" s="43"/>
      <c r="Z892" s="43"/>
      <c r="AA892" s="43"/>
      <c r="AB892" s="43"/>
      <c r="AC892" s="43"/>
      <c r="AD892" s="43"/>
      <c r="AE892" s="48"/>
      <c r="AF892" s="48"/>
      <c r="AG892" s="48"/>
      <c r="AH892" s="50"/>
    </row>
    <row r="893" spans="8:34" ht="12.5">
      <c r="H893" s="43"/>
      <c r="I893" s="43"/>
      <c r="J893" s="43"/>
      <c r="K893" s="44"/>
      <c r="L893" s="45"/>
      <c r="M893" s="43"/>
      <c r="N893" s="46"/>
      <c r="O893" s="46"/>
      <c r="P893" s="45"/>
      <c r="Q893" s="45"/>
      <c r="R893" s="45"/>
      <c r="S893" s="43"/>
      <c r="T893" s="43"/>
      <c r="U893" s="43"/>
      <c r="V893" s="43"/>
      <c r="W893" s="43"/>
      <c r="X893" s="43"/>
      <c r="Y893" s="43"/>
      <c r="Z893" s="43"/>
      <c r="AA893" s="43"/>
      <c r="AB893" s="43"/>
      <c r="AC893" s="43"/>
      <c r="AD893" s="43"/>
      <c r="AE893" s="48"/>
      <c r="AF893" s="48"/>
      <c r="AG893" s="48"/>
      <c r="AH893" s="50"/>
    </row>
    <row r="894" spans="8:34" ht="12.5">
      <c r="H894" s="43"/>
      <c r="I894" s="43"/>
      <c r="J894" s="43"/>
      <c r="K894" s="44"/>
      <c r="L894" s="45"/>
      <c r="M894" s="43"/>
      <c r="N894" s="46"/>
      <c r="O894" s="46"/>
      <c r="P894" s="45"/>
      <c r="Q894" s="45"/>
      <c r="R894" s="45"/>
      <c r="S894" s="43"/>
      <c r="T894" s="43"/>
      <c r="U894" s="43"/>
      <c r="V894" s="43"/>
      <c r="W894" s="43"/>
      <c r="X894" s="43"/>
      <c r="Y894" s="43"/>
      <c r="Z894" s="43"/>
      <c r="AA894" s="43"/>
      <c r="AB894" s="43"/>
      <c r="AC894" s="43"/>
      <c r="AD894" s="43"/>
      <c r="AE894" s="48"/>
      <c r="AF894" s="48"/>
      <c r="AG894" s="48"/>
      <c r="AH894" s="50"/>
    </row>
    <row r="895" spans="8:34" ht="12.5">
      <c r="H895" s="43"/>
      <c r="I895" s="43"/>
      <c r="J895" s="43"/>
      <c r="K895" s="44"/>
      <c r="L895" s="45"/>
      <c r="M895" s="43"/>
      <c r="N895" s="46"/>
      <c r="O895" s="46"/>
      <c r="P895" s="45"/>
      <c r="Q895" s="45"/>
      <c r="R895" s="45"/>
      <c r="S895" s="43"/>
      <c r="T895" s="43"/>
      <c r="U895" s="43"/>
      <c r="V895" s="43"/>
      <c r="W895" s="43"/>
      <c r="X895" s="43"/>
      <c r="Y895" s="43"/>
      <c r="Z895" s="43"/>
      <c r="AA895" s="43"/>
      <c r="AB895" s="43"/>
      <c r="AC895" s="43"/>
      <c r="AD895" s="43"/>
      <c r="AE895" s="48"/>
      <c r="AF895" s="48"/>
      <c r="AG895" s="48"/>
      <c r="AH895" s="50"/>
    </row>
    <row r="896" spans="8:34" ht="12.5">
      <c r="H896" s="43"/>
      <c r="I896" s="43"/>
      <c r="J896" s="43"/>
      <c r="K896" s="44"/>
      <c r="L896" s="45"/>
      <c r="M896" s="43"/>
      <c r="N896" s="46"/>
      <c r="O896" s="46"/>
      <c r="P896" s="45"/>
      <c r="Q896" s="45"/>
      <c r="R896" s="45"/>
      <c r="S896" s="43"/>
      <c r="T896" s="43"/>
      <c r="U896" s="43"/>
      <c r="V896" s="43"/>
      <c r="W896" s="43"/>
      <c r="X896" s="43"/>
      <c r="Y896" s="43"/>
      <c r="Z896" s="43"/>
      <c r="AA896" s="43"/>
      <c r="AB896" s="43"/>
      <c r="AC896" s="43"/>
      <c r="AD896" s="43"/>
      <c r="AE896" s="48"/>
      <c r="AF896" s="48"/>
      <c r="AG896" s="48"/>
      <c r="AH896" s="50"/>
    </row>
    <row r="897" spans="8:34" ht="12.5">
      <c r="H897" s="43"/>
      <c r="I897" s="43"/>
      <c r="J897" s="43"/>
      <c r="K897" s="44"/>
      <c r="L897" s="45"/>
      <c r="M897" s="43"/>
      <c r="N897" s="46"/>
      <c r="O897" s="46"/>
      <c r="P897" s="45"/>
      <c r="Q897" s="45"/>
      <c r="R897" s="45"/>
      <c r="S897" s="43"/>
      <c r="T897" s="43"/>
      <c r="U897" s="43"/>
      <c r="V897" s="43"/>
      <c r="W897" s="43"/>
      <c r="X897" s="43"/>
      <c r="Y897" s="43"/>
      <c r="Z897" s="43"/>
      <c r="AA897" s="43"/>
      <c r="AB897" s="43"/>
      <c r="AC897" s="43"/>
      <c r="AD897" s="43"/>
      <c r="AE897" s="48"/>
      <c r="AF897" s="48"/>
      <c r="AG897" s="48"/>
      <c r="AH897" s="50"/>
    </row>
    <row r="898" spans="8:34" ht="12.5">
      <c r="H898" s="43"/>
      <c r="I898" s="43"/>
      <c r="J898" s="43"/>
      <c r="K898" s="44"/>
      <c r="L898" s="45"/>
      <c r="M898" s="43"/>
      <c r="N898" s="46"/>
      <c r="O898" s="46"/>
      <c r="P898" s="45"/>
      <c r="Q898" s="45"/>
      <c r="R898" s="45"/>
      <c r="S898" s="43"/>
      <c r="T898" s="43"/>
      <c r="U898" s="43"/>
      <c r="V898" s="43"/>
      <c r="W898" s="43"/>
      <c r="X898" s="43"/>
      <c r="Y898" s="43"/>
      <c r="Z898" s="43"/>
      <c r="AA898" s="43"/>
      <c r="AB898" s="43"/>
      <c r="AC898" s="43"/>
      <c r="AD898" s="43"/>
      <c r="AE898" s="48"/>
      <c r="AF898" s="48"/>
      <c r="AG898" s="48"/>
      <c r="AH898" s="50"/>
    </row>
    <row r="899" spans="8:34" ht="12.5">
      <c r="H899" s="43"/>
      <c r="I899" s="43"/>
      <c r="J899" s="43"/>
      <c r="K899" s="44"/>
      <c r="L899" s="45"/>
      <c r="M899" s="43"/>
      <c r="N899" s="46"/>
      <c r="O899" s="46"/>
      <c r="P899" s="45"/>
      <c r="Q899" s="45"/>
      <c r="R899" s="45"/>
      <c r="S899" s="43"/>
      <c r="T899" s="43"/>
      <c r="U899" s="43"/>
      <c r="V899" s="43"/>
      <c r="W899" s="43"/>
      <c r="X899" s="43"/>
      <c r="Y899" s="43"/>
      <c r="Z899" s="43"/>
      <c r="AA899" s="43"/>
      <c r="AB899" s="43"/>
      <c r="AC899" s="43"/>
      <c r="AD899" s="43"/>
      <c r="AE899" s="48"/>
      <c r="AF899" s="48"/>
      <c r="AG899" s="48"/>
      <c r="AH899" s="50"/>
    </row>
    <row r="900" spans="8:34" ht="12.5">
      <c r="H900" s="43"/>
      <c r="I900" s="43"/>
      <c r="J900" s="43"/>
      <c r="K900" s="44"/>
      <c r="L900" s="45"/>
      <c r="M900" s="43"/>
      <c r="N900" s="46"/>
      <c r="O900" s="46"/>
      <c r="P900" s="45"/>
      <c r="Q900" s="45"/>
      <c r="R900" s="45"/>
      <c r="S900" s="43"/>
      <c r="T900" s="43"/>
      <c r="U900" s="43"/>
      <c r="V900" s="43"/>
      <c r="W900" s="43"/>
      <c r="X900" s="43"/>
      <c r="Y900" s="43"/>
      <c r="Z900" s="43"/>
      <c r="AA900" s="43"/>
      <c r="AB900" s="43"/>
      <c r="AC900" s="43"/>
      <c r="AD900" s="43"/>
      <c r="AE900" s="48"/>
      <c r="AF900" s="48"/>
      <c r="AG900" s="48"/>
      <c r="AH900" s="50"/>
    </row>
    <row r="901" spans="8:34" ht="12.5">
      <c r="H901" s="43"/>
      <c r="I901" s="43"/>
      <c r="J901" s="43"/>
      <c r="K901" s="44"/>
      <c r="L901" s="45"/>
      <c r="M901" s="43"/>
      <c r="N901" s="46"/>
      <c r="O901" s="46"/>
      <c r="P901" s="45"/>
      <c r="Q901" s="45"/>
      <c r="R901" s="45"/>
      <c r="S901" s="43"/>
      <c r="T901" s="43"/>
      <c r="U901" s="43"/>
      <c r="V901" s="43"/>
      <c r="W901" s="43"/>
      <c r="X901" s="43"/>
      <c r="Y901" s="43"/>
      <c r="Z901" s="43"/>
      <c r="AA901" s="43"/>
      <c r="AB901" s="43"/>
      <c r="AC901" s="43"/>
      <c r="AD901" s="43"/>
      <c r="AE901" s="48"/>
      <c r="AF901" s="48"/>
      <c r="AG901" s="48"/>
      <c r="AH901" s="50"/>
    </row>
    <row r="902" spans="8:34" ht="12.5">
      <c r="H902" s="43"/>
      <c r="I902" s="43"/>
      <c r="J902" s="43"/>
      <c r="K902" s="44"/>
      <c r="L902" s="45"/>
      <c r="M902" s="43"/>
      <c r="N902" s="46"/>
      <c r="O902" s="46"/>
      <c r="P902" s="45"/>
      <c r="Q902" s="45"/>
      <c r="R902" s="45"/>
      <c r="S902" s="43"/>
      <c r="T902" s="43"/>
      <c r="U902" s="43"/>
      <c r="V902" s="43"/>
      <c r="W902" s="43"/>
      <c r="X902" s="43"/>
      <c r="Y902" s="43"/>
      <c r="Z902" s="43"/>
      <c r="AA902" s="43"/>
      <c r="AB902" s="43"/>
      <c r="AC902" s="43"/>
      <c r="AD902" s="43"/>
      <c r="AE902" s="48"/>
      <c r="AF902" s="48"/>
      <c r="AG902" s="48"/>
      <c r="AH902" s="50"/>
    </row>
    <row r="903" spans="8:34" ht="12.5">
      <c r="H903" s="43"/>
      <c r="I903" s="43"/>
      <c r="J903" s="43"/>
      <c r="K903" s="44"/>
      <c r="L903" s="45"/>
      <c r="M903" s="43"/>
      <c r="N903" s="46"/>
      <c r="O903" s="46"/>
      <c r="P903" s="45"/>
      <c r="Q903" s="45"/>
      <c r="R903" s="45"/>
      <c r="S903" s="43"/>
      <c r="T903" s="43"/>
      <c r="U903" s="43"/>
      <c r="V903" s="43"/>
      <c r="W903" s="43"/>
      <c r="X903" s="43"/>
      <c r="Y903" s="43"/>
      <c r="Z903" s="43"/>
      <c r="AA903" s="43"/>
      <c r="AB903" s="43"/>
      <c r="AC903" s="43"/>
      <c r="AD903" s="43"/>
      <c r="AE903" s="48"/>
      <c r="AF903" s="48"/>
      <c r="AG903" s="48"/>
      <c r="AH903" s="50"/>
    </row>
    <row r="904" spans="8:34" ht="12.5">
      <c r="H904" s="43"/>
      <c r="I904" s="43"/>
      <c r="J904" s="43"/>
      <c r="K904" s="44"/>
      <c r="L904" s="45"/>
      <c r="M904" s="43"/>
      <c r="N904" s="46"/>
      <c r="O904" s="46"/>
      <c r="P904" s="45"/>
      <c r="Q904" s="45"/>
      <c r="R904" s="45"/>
      <c r="S904" s="43"/>
      <c r="T904" s="43"/>
      <c r="U904" s="43"/>
      <c r="V904" s="43"/>
      <c r="W904" s="43"/>
      <c r="X904" s="43"/>
      <c r="Y904" s="43"/>
      <c r="Z904" s="43"/>
      <c r="AA904" s="43"/>
      <c r="AB904" s="43"/>
      <c r="AC904" s="43"/>
      <c r="AD904" s="43"/>
      <c r="AE904" s="48"/>
      <c r="AF904" s="48"/>
      <c r="AG904" s="48"/>
      <c r="AH904" s="50"/>
    </row>
    <row r="905" spans="8:34" ht="12.5">
      <c r="H905" s="43"/>
      <c r="I905" s="43"/>
      <c r="J905" s="43"/>
      <c r="K905" s="44"/>
      <c r="L905" s="45"/>
      <c r="M905" s="43"/>
      <c r="N905" s="46"/>
      <c r="O905" s="46"/>
      <c r="P905" s="45"/>
      <c r="Q905" s="45"/>
      <c r="R905" s="45"/>
      <c r="S905" s="43"/>
      <c r="T905" s="43"/>
      <c r="U905" s="43"/>
      <c r="V905" s="43"/>
      <c r="W905" s="43"/>
      <c r="X905" s="43"/>
      <c r="Y905" s="43"/>
      <c r="Z905" s="43"/>
      <c r="AA905" s="43"/>
      <c r="AB905" s="43"/>
      <c r="AC905" s="43"/>
      <c r="AD905" s="43"/>
      <c r="AE905" s="48"/>
      <c r="AF905" s="48"/>
      <c r="AG905" s="48"/>
      <c r="AH905" s="50"/>
    </row>
    <row r="906" spans="8:34" ht="12.5">
      <c r="H906" s="43"/>
      <c r="I906" s="43"/>
      <c r="J906" s="43"/>
      <c r="K906" s="44"/>
      <c r="L906" s="45"/>
      <c r="M906" s="43"/>
      <c r="N906" s="46"/>
      <c r="O906" s="46"/>
      <c r="P906" s="45"/>
      <c r="Q906" s="45"/>
      <c r="R906" s="45"/>
      <c r="S906" s="43"/>
      <c r="T906" s="43"/>
      <c r="U906" s="43"/>
      <c r="V906" s="43"/>
      <c r="W906" s="43"/>
      <c r="X906" s="43"/>
      <c r="Y906" s="43"/>
      <c r="Z906" s="43"/>
      <c r="AA906" s="43"/>
      <c r="AB906" s="43"/>
      <c r="AC906" s="43"/>
      <c r="AD906" s="43"/>
      <c r="AE906" s="48"/>
      <c r="AF906" s="48"/>
      <c r="AG906" s="48"/>
      <c r="AH906" s="50"/>
    </row>
    <row r="907" spans="8:34" ht="12.5">
      <c r="H907" s="43"/>
      <c r="I907" s="43"/>
      <c r="J907" s="43"/>
      <c r="K907" s="44"/>
      <c r="L907" s="45"/>
      <c r="M907" s="43"/>
      <c r="N907" s="46"/>
      <c r="O907" s="46"/>
      <c r="P907" s="45"/>
      <c r="Q907" s="45"/>
      <c r="R907" s="45"/>
      <c r="S907" s="43"/>
      <c r="T907" s="43"/>
      <c r="U907" s="43"/>
      <c r="V907" s="43"/>
      <c r="W907" s="43"/>
      <c r="X907" s="43"/>
      <c r="Y907" s="43"/>
      <c r="Z907" s="43"/>
      <c r="AA907" s="43"/>
      <c r="AB907" s="43"/>
      <c r="AC907" s="43"/>
      <c r="AD907" s="43"/>
      <c r="AE907" s="48"/>
      <c r="AF907" s="48"/>
      <c r="AG907" s="48"/>
      <c r="AH907" s="50"/>
    </row>
    <row r="908" spans="8:34" ht="12.5">
      <c r="H908" s="43"/>
      <c r="I908" s="43"/>
      <c r="J908" s="43"/>
      <c r="K908" s="44"/>
      <c r="L908" s="45"/>
      <c r="M908" s="43"/>
      <c r="N908" s="46"/>
      <c r="O908" s="46"/>
      <c r="P908" s="45"/>
      <c r="Q908" s="45"/>
      <c r="R908" s="45"/>
      <c r="S908" s="43"/>
      <c r="T908" s="43"/>
      <c r="U908" s="43"/>
      <c r="V908" s="43"/>
      <c r="W908" s="43"/>
      <c r="X908" s="43"/>
      <c r="Y908" s="43"/>
      <c r="Z908" s="43"/>
      <c r="AA908" s="43"/>
      <c r="AB908" s="43"/>
      <c r="AC908" s="43"/>
      <c r="AD908" s="43"/>
      <c r="AE908" s="48"/>
      <c r="AF908" s="48"/>
      <c r="AG908" s="48"/>
      <c r="AH908" s="50"/>
    </row>
    <row r="909" spans="8:34" ht="12.5">
      <c r="H909" s="43"/>
      <c r="I909" s="43"/>
      <c r="J909" s="43"/>
      <c r="K909" s="44"/>
      <c r="L909" s="45"/>
      <c r="M909" s="43"/>
      <c r="N909" s="46"/>
      <c r="O909" s="46"/>
      <c r="P909" s="45"/>
      <c r="Q909" s="45"/>
      <c r="R909" s="45"/>
      <c r="S909" s="43"/>
      <c r="T909" s="43"/>
      <c r="U909" s="43"/>
      <c r="V909" s="43"/>
      <c r="W909" s="43"/>
      <c r="X909" s="43"/>
      <c r="Y909" s="43"/>
      <c r="Z909" s="43"/>
      <c r="AA909" s="43"/>
      <c r="AB909" s="43"/>
      <c r="AC909" s="43"/>
      <c r="AD909" s="43"/>
      <c r="AE909" s="48"/>
      <c r="AF909" s="48"/>
      <c r="AG909" s="48"/>
      <c r="AH909" s="50"/>
    </row>
    <row r="910" spans="8:34" ht="12.5">
      <c r="H910" s="43"/>
      <c r="I910" s="43"/>
      <c r="J910" s="43"/>
      <c r="K910" s="44"/>
      <c r="L910" s="45"/>
      <c r="M910" s="43"/>
      <c r="N910" s="46"/>
      <c r="O910" s="46"/>
      <c r="P910" s="45"/>
      <c r="Q910" s="45"/>
      <c r="R910" s="45"/>
      <c r="S910" s="43"/>
      <c r="T910" s="43"/>
      <c r="U910" s="43"/>
      <c r="V910" s="43"/>
      <c r="W910" s="43"/>
      <c r="X910" s="43"/>
      <c r="Y910" s="43"/>
      <c r="Z910" s="43"/>
      <c r="AA910" s="43"/>
      <c r="AB910" s="43"/>
      <c r="AC910" s="43"/>
      <c r="AD910" s="43"/>
      <c r="AE910" s="48"/>
      <c r="AF910" s="48"/>
      <c r="AG910" s="48"/>
      <c r="AH910" s="50"/>
    </row>
    <row r="911" spans="8:34" ht="12.5">
      <c r="H911" s="43"/>
      <c r="I911" s="43"/>
      <c r="J911" s="43"/>
      <c r="K911" s="44"/>
      <c r="L911" s="45"/>
      <c r="M911" s="43"/>
      <c r="N911" s="46"/>
      <c r="O911" s="46"/>
      <c r="P911" s="45"/>
      <c r="Q911" s="45"/>
      <c r="R911" s="45"/>
      <c r="S911" s="43"/>
      <c r="T911" s="43"/>
      <c r="U911" s="43"/>
      <c r="V911" s="43"/>
      <c r="W911" s="43"/>
      <c r="X911" s="43"/>
      <c r="Y911" s="43"/>
      <c r="Z911" s="43"/>
      <c r="AA911" s="43"/>
      <c r="AB911" s="43"/>
      <c r="AC911" s="43"/>
      <c r="AD911" s="43"/>
      <c r="AE911" s="48"/>
      <c r="AF911" s="48"/>
      <c r="AG911" s="48"/>
      <c r="AH911" s="50"/>
    </row>
    <row r="912" spans="8:34" ht="12.5">
      <c r="H912" s="43"/>
      <c r="I912" s="43"/>
      <c r="J912" s="43"/>
      <c r="K912" s="44"/>
      <c r="L912" s="45"/>
      <c r="M912" s="43"/>
      <c r="N912" s="46"/>
      <c r="O912" s="46"/>
      <c r="P912" s="45"/>
      <c r="Q912" s="45"/>
      <c r="R912" s="45"/>
      <c r="S912" s="43"/>
      <c r="T912" s="43"/>
      <c r="U912" s="43"/>
      <c r="V912" s="43"/>
      <c r="W912" s="43"/>
      <c r="X912" s="43"/>
      <c r="Y912" s="43"/>
      <c r="Z912" s="43"/>
      <c r="AA912" s="43"/>
      <c r="AB912" s="43"/>
      <c r="AC912" s="43"/>
      <c r="AD912" s="43"/>
      <c r="AE912" s="48"/>
      <c r="AF912" s="48"/>
      <c r="AG912" s="48"/>
      <c r="AH912" s="50"/>
    </row>
    <row r="913" spans="8:34" ht="12.5">
      <c r="H913" s="43"/>
      <c r="I913" s="43"/>
      <c r="J913" s="43"/>
      <c r="K913" s="44"/>
      <c r="L913" s="45"/>
      <c r="M913" s="43"/>
      <c r="N913" s="46"/>
      <c r="O913" s="46"/>
      <c r="P913" s="45"/>
      <c r="Q913" s="45"/>
      <c r="R913" s="45"/>
      <c r="S913" s="43"/>
      <c r="T913" s="43"/>
      <c r="U913" s="43"/>
      <c r="V913" s="43"/>
      <c r="W913" s="43"/>
      <c r="X913" s="43"/>
      <c r="Y913" s="43"/>
      <c r="Z913" s="43"/>
      <c r="AA913" s="43"/>
      <c r="AB913" s="43"/>
      <c r="AC913" s="43"/>
      <c r="AD913" s="43"/>
      <c r="AE913" s="48"/>
      <c r="AF913" s="48"/>
      <c r="AG913" s="48"/>
      <c r="AH913" s="50"/>
    </row>
    <row r="914" spans="8:34" ht="12.5">
      <c r="H914" s="43"/>
      <c r="I914" s="43"/>
      <c r="J914" s="43"/>
      <c r="K914" s="44"/>
      <c r="L914" s="45"/>
      <c r="M914" s="43"/>
      <c r="N914" s="46"/>
      <c r="O914" s="46"/>
      <c r="P914" s="45"/>
      <c r="Q914" s="45"/>
      <c r="R914" s="45"/>
      <c r="S914" s="43"/>
      <c r="T914" s="43"/>
      <c r="U914" s="43"/>
      <c r="V914" s="43"/>
      <c r="W914" s="43"/>
      <c r="X914" s="43"/>
      <c r="Y914" s="43"/>
      <c r="Z914" s="43"/>
      <c r="AA914" s="43"/>
      <c r="AB914" s="43"/>
      <c r="AC914" s="43"/>
      <c r="AD914" s="43"/>
      <c r="AE914" s="48"/>
      <c r="AF914" s="48"/>
      <c r="AG914" s="48"/>
      <c r="AH914" s="50"/>
    </row>
    <row r="915" spans="8:34" ht="12.5">
      <c r="H915" s="43"/>
      <c r="I915" s="43"/>
      <c r="J915" s="43"/>
      <c r="K915" s="44"/>
      <c r="L915" s="45"/>
      <c r="M915" s="43"/>
      <c r="N915" s="46"/>
      <c r="O915" s="46"/>
      <c r="P915" s="45"/>
      <c r="Q915" s="45"/>
      <c r="R915" s="45"/>
      <c r="S915" s="43"/>
      <c r="T915" s="43"/>
      <c r="U915" s="43"/>
      <c r="V915" s="43"/>
      <c r="W915" s="43"/>
      <c r="X915" s="43"/>
      <c r="Y915" s="43"/>
      <c r="Z915" s="43"/>
      <c r="AA915" s="43"/>
      <c r="AB915" s="43"/>
      <c r="AC915" s="43"/>
      <c r="AD915" s="43"/>
      <c r="AE915" s="48"/>
      <c r="AF915" s="48"/>
      <c r="AG915" s="48"/>
      <c r="AH915" s="50"/>
    </row>
    <row r="916" spans="8:34" ht="12.5">
      <c r="H916" s="43"/>
      <c r="I916" s="43"/>
      <c r="J916" s="43"/>
      <c r="K916" s="44"/>
      <c r="L916" s="45"/>
      <c r="M916" s="43"/>
      <c r="N916" s="46"/>
      <c r="O916" s="46"/>
      <c r="P916" s="45"/>
      <c r="Q916" s="45"/>
      <c r="R916" s="45"/>
      <c r="S916" s="43"/>
      <c r="T916" s="43"/>
      <c r="U916" s="43"/>
      <c r="V916" s="43"/>
      <c r="W916" s="43"/>
      <c r="X916" s="43"/>
      <c r="Y916" s="43"/>
      <c r="Z916" s="43"/>
      <c r="AA916" s="43"/>
      <c r="AB916" s="43"/>
      <c r="AC916" s="43"/>
      <c r="AD916" s="43"/>
      <c r="AE916" s="48"/>
      <c r="AF916" s="48"/>
      <c r="AG916" s="48"/>
      <c r="AH916" s="50"/>
    </row>
    <row r="917" spans="8:34" ht="12.5">
      <c r="H917" s="43"/>
      <c r="I917" s="43"/>
      <c r="J917" s="43"/>
      <c r="K917" s="44"/>
      <c r="L917" s="45"/>
      <c r="M917" s="43"/>
      <c r="N917" s="46"/>
      <c r="O917" s="46"/>
      <c r="P917" s="45"/>
      <c r="Q917" s="45"/>
      <c r="R917" s="45"/>
      <c r="S917" s="43"/>
      <c r="T917" s="43"/>
      <c r="U917" s="43"/>
      <c r="V917" s="43"/>
      <c r="W917" s="43"/>
      <c r="X917" s="43"/>
      <c r="Y917" s="43"/>
      <c r="Z917" s="43"/>
      <c r="AA917" s="43"/>
      <c r="AB917" s="43"/>
      <c r="AC917" s="43"/>
      <c r="AD917" s="43"/>
      <c r="AE917" s="48"/>
      <c r="AF917" s="48"/>
      <c r="AG917" s="48"/>
      <c r="AH917" s="50"/>
    </row>
    <row r="918" spans="8:34" ht="12.5">
      <c r="H918" s="43"/>
      <c r="I918" s="43"/>
      <c r="J918" s="43"/>
      <c r="K918" s="44"/>
      <c r="L918" s="45"/>
      <c r="M918" s="43"/>
      <c r="N918" s="46"/>
      <c r="O918" s="46"/>
      <c r="P918" s="45"/>
      <c r="Q918" s="45"/>
      <c r="R918" s="45"/>
      <c r="S918" s="43"/>
      <c r="T918" s="43"/>
      <c r="U918" s="43"/>
      <c r="V918" s="43"/>
      <c r="W918" s="43"/>
      <c r="X918" s="43"/>
      <c r="Y918" s="43"/>
      <c r="Z918" s="43"/>
      <c r="AA918" s="43"/>
      <c r="AB918" s="43"/>
      <c r="AC918" s="43"/>
      <c r="AD918" s="43"/>
      <c r="AE918" s="48"/>
      <c r="AF918" s="48"/>
      <c r="AG918" s="48"/>
      <c r="AH918" s="50"/>
    </row>
    <row r="919" spans="8:34" ht="12.5">
      <c r="H919" s="43"/>
      <c r="I919" s="43"/>
      <c r="J919" s="43"/>
      <c r="K919" s="44"/>
      <c r="L919" s="45"/>
      <c r="M919" s="43"/>
      <c r="N919" s="46"/>
      <c r="O919" s="46"/>
      <c r="P919" s="45"/>
      <c r="Q919" s="45"/>
      <c r="R919" s="45"/>
      <c r="S919" s="43"/>
      <c r="T919" s="43"/>
      <c r="U919" s="43"/>
      <c r="V919" s="43"/>
      <c r="W919" s="43"/>
      <c r="X919" s="43"/>
      <c r="Y919" s="43"/>
      <c r="Z919" s="43"/>
      <c r="AA919" s="43"/>
      <c r="AB919" s="43"/>
      <c r="AC919" s="43"/>
      <c r="AD919" s="43"/>
      <c r="AE919" s="48"/>
      <c r="AF919" s="48"/>
      <c r="AG919" s="48"/>
      <c r="AH919" s="50"/>
    </row>
    <row r="920" spans="8:34" ht="12.5">
      <c r="H920" s="43"/>
      <c r="I920" s="43"/>
      <c r="J920" s="43"/>
      <c r="K920" s="44"/>
      <c r="L920" s="45"/>
      <c r="M920" s="43"/>
      <c r="N920" s="46"/>
      <c r="O920" s="46"/>
      <c r="P920" s="45"/>
      <c r="Q920" s="45"/>
      <c r="R920" s="45"/>
      <c r="S920" s="43"/>
      <c r="T920" s="43"/>
      <c r="U920" s="43"/>
      <c r="V920" s="43"/>
      <c r="W920" s="43"/>
      <c r="X920" s="43"/>
      <c r="Y920" s="43"/>
      <c r="Z920" s="43"/>
      <c r="AA920" s="43"/>
      <c r="AB920" s="43"/>
      <c r="AC920" s="43"/>
      <c r="AD920" s="43"/>
      <c r="AE920" s="48"/>
      <c r="AF920" s="48"/>
      <c r="AG920" s="48"/>
      <c r="AH920" s="50"/>
    </row>
    <row r="921" spans="8:34" ht="12.5">
      <c r="H921" s="43"/>
      <c r="I921" s="43"/>
      <c r="J921" s="43"/>
      <c r="K921" s="44"/>
      <c r="L921" s="45"/>
      <c r="M921" s="43"/>
      <c r="N921" s="46"/>
      <c r="O921" s="46"/>
      <c r="P921" s="45"/>
      <c r="Q921" s="45"/>
      <c r="R921" s="45"/>
      <c r="S921" s="43"/>
      <c r="T921" s="43"/>
      <c r="U921" s="43"/>
      <c r="V921" s="43"/>
      <c r="W921" s="43"/>
      <c r="X921" s="43"/>
      <c r="Y921" s="43"/>
      <c r="Z921" s="43"/>
      <c r="AA921" s="43"/>
      <c r="AB921" s="43"/>
      <c r="AC921" s="43"/>
      <c r="AD921" s="43"/>
      <c r="AE921" s="48"/>
      <c r="AF921" s="48"/>
      <c r="AG921" s="48"/>
      <c r="AH921" s="50"/>
    </row>
    <row r="922" spans="8:34" ht="12.5">
      <c r="H922" s="43"/>
      <c r="I922" s="43"/>
      <c r="J922" s="43"/>
      <c r="K922" s="44"/>
      <c r="L922" s="45"/>
      <c r="M922" s="43"/>
      <c r="N922" s="46"/>
      <c r="O922" s="46"/>
      <c r="P922" s="45"/>
      <c r="Q922" s="45"/>
      <c r="R922" s="45"/>
      <c r="S922" s="43"/>
      <c r="T922" s="43"/>
      <c r="U922" s="43"/>
      <c r="V922" s="43"/>
      <c r="W922" s="43"/>
      <c r="X922" s="43"/>
      <c r="Y922" s="43"/>
      <c r="Z922" s="43"/>
      <c r="AA922" s="43"/>
      <c r="AB922" s="43"/>
      <c r="AC922" s="43"/>
      <c r="AD922" s="43"/>
      <c r="AE922" s="48"/>
      <c r="AF922" s="48"/>
      <c r="AG922" s="48"/>
      <c r="AH922" s="50"/>
    </row>
    <row r="923" spans="8:34" ht="12.5">
      <c r="H923" s="43"/>
      <c r="I923" s="43"/>
      <c r="J923" s="43"/>
      <c r="K923" s="44"/>
      <c r="L923" s="45"/>
      <c r="M923" s="43"/>
      <c r="N923" s="46"/>
      <c r="O923" s="46"/>
      <c r="P923" s="45"/>
      <c r="Q923" s="45"/>
      <c r="R923" s="45"/>
      <c r="S923" s="43"/>
      <c r="T923" s="43"/>
      <c r="U923" s="43"/>
      <c r="V923" s="43"/>
      <c r="W923" s="43"/>
      <c r="X923" s="43"/>
      <c r="Y923" s="43"/>
      <c r="Z923" s="43"/>
      <c r="AA923" s="43"/>
      <c r="AB923" s="43"/>
      <c r="AC923" s="43"/>
      <c r="AD923" s="43"/>
      <c r="AE923" s="48"/>
      <c r="AF923" s="48"/>
      <c r="AG923" s="48"/>
      <c r="AH923" s="50"/>
    </row>
    <row r="924" spans="8:34" ht="12.5">
      <c r="H924" s="43"/>
      <c r="I924" s="43"/>
      <c r="J924" s="43"/>
      <c r="K924" s="44"/>
      <c r="L924" s="45"/>
      <c r="M924" s="43"/>
      <c r="N924" s="46"/>
      <c r="O924" s="46"/>
      <c r="P924" s="45"/>
      <c r="Q924" s="45"/>
      <c r="R924" s="45"/>
      <c r="S924" s="43"/>
      <c r="T924" s="43"/>
      <c r="U924" s="43"/>
      <c r="V924" s="43"/>
      <c r="W924" s="43"/>
      <c r="X924" s="43"/>
      <c r="Y924" s="43"/>
      <c r="Z924" s="43"/>
      <c r="AA924" s="43"/>
      <c r="AB924" s="43"/>
      <c r="AC924" s="43"/>
      <c r="AD924" s="43"/>
      <c r="AE924" s="48"/>
      <c r="AF924" s="48"/>
      <c r="AG924" s="48"/>
      <c r="AH924" s="50"/>
    </row>
    <row r="925" spans="8:34" ht="12.5">
      <c r="H925" s="43"/>
      <c r="I925" s="43"/>
      <c r="J925" s="43"/>
      <c r="K925" s="44"/>
      <c r="L925" s="45"/>
      <c r="M925" s="43"/>
      <c r="N925" s="46"/>
      <c r="O925" s="46"/>
      <c r="P925" s="45"/>
      <c r="Q925" s="45"/>
      <c r="R925" s="45"/>
      <c r="S925" s="43"/>
      <c r="T925" s="43"/>
      <c r="U925" s="43"/>
      <c r="V925" s="43"/>
      <c r="W925" s="43"/>
      <c r="X925" s="43"/>
      <c r="Y925" s="43"/>
      <c r="Z925" s="43"/>
      <c r="AA925" s="43"/>
      <c r="AB925" s="43"/>
      <c r="AC925" s="43"/>
      <c r="AD925" s="43"/>
      <c r="AE925" s="48"/>
      <c r="AF925" s="48"/>
      <c r="AG925" s="48"/>
      <c r="AH925" s="50"/>
    </row>
    <row r="926" spans="8:34" ht="12.5">
      <c r="H926" s="43"/>
      <c r="I926" s="43"/>
      <c r="J926" s="43"/>
      <c r="K926" s="44"/>
      <c r="L926" s="45"/>
      <c r="M926" s="43"/>
      <c r="N926" s="46"/>
      <c r="O926" s="46"/>
      <c r="P926" s="45"/>
      <c r="Q926" s="45"/>
      <c r="R926" s="45"/>
      <c r="S926" s="43"/>
      <c r="T926" s="43"/>
      <c r="U926" s="43"/>
      <c r="V926" s="43"/>
      <c r="W926" s="43"/>
      <c r="X926" s="43"/>
      <c r="Y926" s="43"/>
      <c r="Z926" s="43"/>
      <c r="AA926" s="43"/>
      <c r="AB926" s="43"/>
      <c r="AC926" s="43"/>
      <c r="AD926" s="43"/>
      <c r="AE926" s="48"/>
      <c r="AF926" s="48"/>
      <c r="AG926" s="48"/>
      <c r="AH926" s="50"/>
    </row>
    <row r="927" spans="8:34" ht="12.5">
      <c r="H927" s="43"/>
      <c r="I927" s="43"/>
      <c r="J927" s="43"/>
      <c r="K927" s="44"/>
      <c r="L927" s="45"/>
      <c r="M927" s="43"/>
      <c r="N927" s="46"/>
      <c r="O927" s="46"/>
      <c r="P927" s="45"/>
      <c r="Q927" s="45"/>
      <c r="R927" s="45"/>
      <c r="S927" s="43"/>
      <c r="T927" s="43"/>
      <c r="U927" s="43"/>
      <c r="V927" s="43"/>
      <c r="W927" s="43"/>
      <c r="X927" s="43"/>
      <c r="Y927" s="43"/>
      <c r="Z927" s="43"/>
      <c r="AA927" s="43"/>
      <c r="AB927" s="43"/>
      <c r="AC927" s="43"/>
      <c r="AD927" s="43"/>
      <c r="AE927" s="48"/>
      <c r="AF927" s="48"/>
      <c r="AG927" s="48"/>
      <c r="AH927" s="50"/>
    </row>
    <row r="928" spans="8:34" ht="12.5">
      <c r="H928" s="43"/>
      <c r="I928" s="43"/>
      <c r="J928" s="43"/>
      <c r="K928" s="44"/>
      <c r="L928" s="45"/>
      <c r="M928" s="43"/>
      <c r="N928" s="46"/>
      <c r="O928" s="46"/>
      <c r="P928" s="45"/>
      <c r="Q928" s="45"/>
      <c r="R928" s="45"/>
      <c r="S928" s="43"/>
      <c r="T928" s="43"/>
      <c r="U928" s="43"/>
      <c r="V928" s="43"/>
      <c r="W928" s="43"/>
      <c r="X928" s="43"/>
      <c r="Y928" s="43"/>
      <c r="Z928" s="43"/>
      <c r="AA928" s="43"/>
      <c r="AB928" s="43"/>
      <c r="AC928" s="43"/>
      <c r="AD928" s="43"/>
      <c r="AE928" s="48"/>
      <c r="AF928" s="48"/>
      <c r="AG928" s="48"/>
      <c r="AH928" s="50"/>
    </row>
    <row r="929" spans="8:34" ht="12.5">
      <c r="H929" s="43"/>
      <c r="I929" s="43"/>
      <c r="J929" s="43"/>
      <c r="K929" s="44"/>
      <c r="L929" s="45"/>
      <c r="M929" s="43"/>
      <c r="N929" s="46"/>
      <c r="O929" s="46"/>
      <c r="P929" s="45"/>
      <c r="Q929" s="45"/>
      <c r="R929" s="45"/>
      <c r="S929" s="43"/>
      <c r="T929" s="43"/>
      <c r="U929" s="43"/>
      <c r="V929" s="43"/>
      <c r="W929" s="43"/>
      <c r="X929" s="43"/>
      <c r="Y929" s="43"/>
      <c r="Z929" s="43"/>
      <c r="AA929" s="43"/>
      <c r="AB929" s="43"/>
      <c r="AC929" s="43"/>
      <c r="AD929" s="43"/>
      <c r="AE929" s="48"/>
      <c r="AF929" s="48"/>
      <c r="AG929" s="48"/>
      <c r="AH929" s="50"/>
    </row>
    <row r="930" spans="8:34" ht="12.5">
      <c r="H930" s="43"/>
      <c r="I930" s="43"/>
      <c r="J930" s="43"/>
      <c r="K930" s="44"/>
      <c r="L930" s="45"/>
      <c r="M930" s="43"/>
      <c r="N930" s="46"/>
      <c r="O930" s="46"/>
      <c r="P930" s="45"/>
      <c r="Q930" s="45"/>
      <c r="R930" s="45"/>
      <c r="S930" s="43"/>
      <c r="T930" s="43"/>
      <c r="U930" s="43"/>
      <c r="V930" s="43"/>
      <c r="W930" s="43"/>
      <c r="X930" s="43"/>
      <c r="Y930" s="43"/>
      <c r="Z930" s="43"/>
      <c r="AA930" s="43"/>
      <c r="AB930" s="43"/>
      <c r="AC930" s="43"/>
      <c r="AD930" s="43"/>
      <c r="AE930" s="48"/>
      <c r="AF930" s="48"/>
      <c r="AG930" s="48"/>
      <c r="AH930" s="50"/>
    </row>
    <row r="931" spans="8:34" ht="12.5">
      <c r="H931" s="43"/>
      <c r="I931" s="43"/>
      <c r="J931" s="43"/>
      <c r="K931" s="44"/>
      <c r="L931" s="45"/>
      <c r="M931" s="43"/>
      <c r="N931" s="46"/>
      <c r="O931" s="46"/>
      <c r="P931" s="45"/>
      <c r="Q931" s="45"/>
      <c r="R931" s="45"/>
      <c r="S931" s="43"/>
      <c r="T931" s="43"/>
      <c r="U931" s="43"/>
      <c r="V931" s="43"/>
      <c r="W931" s="43"/>
      <c r="X931" s="43"/>
      <c r="Y931" s="43"/>
      <c r="Z931" s="43"/>
      <c r="AA931" s="43"/>
      <c r="AB931" s="43"/>
      <c r="AC931" s="43"/>
      <c r="AD931" s="43"/>
      <c r="AE931" s="48"/>
      <c r="AF931" s="48"/>
      <c r="AG931" s="48"/>
      <c r="AH931" s="50"/>
    </row>
    <row r="932" spans="8:34" ht="12.5">
      <c r="H932" s="43"/>
      <c r="I932" s="43"/>
      <c r="J932" s="43"/>
      <c r="K932" s="44"/>
      <c r="L932" s="45"/>
      <c r="M932" s="43"/>
      <c r="N932" s="46"/>
      <c r="O932" s="46"/>
      <c r="P932" s="45"/>
      <c r="Q932" s="45"/>
      <c r="R932" s="45"/>
      <c r="S932" s="43"/>
      <c r="T932" s="43"/>
      <c r="U932" s="43"/>
      <c r="V932" s="43"/>
      <c r="W932" s="43"/>
      <c r="X932" s="43"/>
      <c r="Y932" s="43"/>
      <c r="Z932" s="43"/>
      <c r="AA932" s="43"/>
      <c r="AB932" s="43"/>
      <c r="AC932" s="43"/>
      <c r="AD932" s="43"/>
      <c r="AE932" s="48"/>
      <c r="AF932" s="48"/>
      <c r="AG932" s="48"/>
      <c r="AH932" s="50"/>
    </row>
    <row r="933" spans="8:34" ht="12.5">
      <c r="H933" s="43"/>
      <c r="I933" s="43"/>
      <c r="J933" s="43"/>
      <c r="K933" s="44"/>
      <c r="L933" s="45"/>
      <c r="M933" s="43"/>
      <c r="N933" s="46"/>
      <c r="O933" s="46"/>
      <c r="P933" s="45"/>
      <c r="Q933" s="45"/>
      <c r="R933" s="45"/>
      <c r="S933" s="43"/>
      <c r="T933" s="43"/>
      <c r="U933" s="43"/>
      <c r="V933" s="43"/>
      <c r="W933" s="43"/>
      <c r="X933" s="43"/>
      <c r="Y933" s="43"/>
      <c r="Z933" s="43"/>
      <c r="AA933" s="43"/>
      <c r="AB933" s="43"/>
      <c r="AC933" s="43"/>
      <c r="AD933" s="43"/>
      <c r="AE933" s="48"/>
      <c r="AF933" s="48"/>
      <c r="AG933" s="48"/>
      <c r="AH933" s="50"/>
    </row>
    <row r="934" spans="8:34" ht="12.5">
      <c r="H934" s="43"/>
      <c r="I934" s="43"/>
      <c r="J934" s="43"/>
      <c r="K934" s="44"/>
      <c r="L934" s="45"/>
      <c r="M934" s="43"/>
      <c r="N934" s="46"/>
      <c r="O934" s="46"/>
      <c r="P934" s="45"/>
      <c r="Q934" s="45"/>
      <c r="R934" s="45"/>
      <c r="S934" s="43"/>
      <c r="T934" s="43"/>
      <c r="U934" s="43"/>
      <c r="V934" s="43"/>
      <c r="W934" s="43"/>
      <c r="X934" s="43"/>
      <c r="Y934" s="43"/>
      <c r="Z934" s="43"/>
      <c r="AA934" s="43"/>
      <c r="AB934" s="43"/>
      <c r="AC934" s="43"/>
      <c r="AD934" s="43"/>
      <c r="AE934" s="48"/>
      <c r="AF934" s="48"/>
      <c r="AG934" s="48"/>
      <c r="AH934" s="50"/>
    </row>
    <row r="935" spans="8:34" ht="12.5">
      <c r="H935" s="43"/>
      <c r="I935" s="43"/>
      <c r="J935" s="43"/>
      <c r="K935" s="44"/>
      <c r="L935" s="45"/>
      <c r="M935" s="43"/>
      <c r="N935" s="46"/>
      <c r="O935" s="46"/>
      <c r="P935" s="45"/>
      <c r="Q935" s="45"/>
      <c r="R935" s="45"/>
      <c r="S935" s="43"/>
      <c r="T935" s="43"/>
      <c r="U935" s="43"/>
      <c r="V935" s="43"/>
      <c r="W935" s="43"/>
      <c r="X935" s="43"/>
      <c r="Y935" s="43"/>
      <c r="Z935" s="43"/>
      <c r="AA935" s="43"/>
      <c r="AB935" s="43"/>
      <c r="AC935" s="43"/>
      <c r="AD935" s="43"/>
      <c r="AE935" s="48"/>
      <c r="AF935" s="48"/>
      <c r="AG935" s="48"/>
      <c r="AH935" s="50"/>
    </row>
    <row r="936" spans="8:34" ht="12.5">
      <c r="H936" s="43"/>
      <c r="I936" s="43"/>
      <c r="J936" s="43"/>
      <c r="K936" s="44"/>
      <c r="L936" s="45"/>
      <c r="M936" s="43"/>
      <c r="N936" s="46"/>
      <c r="O936" s="46"/>
      <c r="P936" s="45"/>
      <c r="Q936" s="45"/>
      <c r="R936" s="45"/>
      <c r="S936" s="43"/>
      <c r="T936" s="43"/>
      <c r="U936" s="43"/>
      <c r="V936" s="43"/>
      <c r="W936" s="43"/>
      <c r="X936" s="43"/>
      <c r="Y936" s="43"/>
      <c r="Z936" s="43"/>
      <c r="AA936" s="43"/>
      <c r="AB936" s="43"/>
      <c r="AC936" s="43"/>
      <c r="AD936" s="43"/>
      <c r="AE936" s="48"/>
      <c r="AF936" s="48"/>
      <c r="AG936" s="48"/>
      <c r="AH936" s="50"/>
    </row>
    <row r="937" spans="8:34" ht="12.5">
      <c r="H937" s="43"/>
      <c r="I937" s="43"/>
      <c r="J937" s="43"/>
      <c r="K937" s="44"/>
      <c r="L937" s="45"/>
      <c r="M937" s="43"/>
      <c r="N937" s="46"/>
      <c r="O937" s="46"/>
      <c r="P937" s="45"/>
      <c r="Q937" s="45"/>
      <c r="R937" s="45"/>
      <c r="S937" s="43"/>
      <c r="T937" s="43"/>
      <c r="U937" s="43"/>
      <c r="V937" s="43"/>
      <c r="W937" s="43"/>
      <c r="X937" s="43"/>
      <c r="Y937" s="43"/>
      <c r="Z937" s="43"/>
      <c r="AA937" s="43"/>
      <c r="AB937" s="43"/>
      <c r="AC937" s="43"/>
      <c r="AD937" s="43"/>
      <c r="AE937" s="48"/>
      <c r="AF937" s="48"/>
      <c r="AG937" s="48"/>
      <c r="AH937" s="50"/>
    </row>
    <row r="938" spans="8:34" ht="12.5">
      <c r="H938" s="43"/>
      <c r="I938" s="43"/>
      <c r="J938" s="43"/>
      <c r="K938" s="44"/>
      <c r="L938" s="45"/>
      <c r="M938" s="43"/>
      <c r="N938" s="46"/>
      <c r="O938" s="46"/>
      <c r="P938" s="45"/>
      <c r="Q938" s="45"/>
      <c r="R938" s="45"/>
      <c r="S938" s="43"/>
      <c r="T938" s="43"/>
      <c r="U938" s="43"/>
      <c r="V938" s="43"/>
      <c r="W938" s="43"/>
      <c r="X938" s="43"/>
      <c r="Y938" s="43"/>
      <c r="Z938" s="43"/>
      <c r="AA938" s="43"/>
      <c r="AB938" s="43"/>
      <c r="AC938" s="43"/>
      <c r="AD938" s="43"/>
      <c r="AE938" s="48"/>
      <c r="AF938" s="48"/>
      <c r="AG938" s="48"/>
      <c r="AH938" s="50"/>
    </row>
    <row r="939" spans="8:34" ht="12.5">
      <c r="H939" s="43"/>
      <c r="I939" s="43"/>
      <c r="J939" s="43"/>
      <c r="K939" s="44"/>
      <c r="L939" s="45"/>
      <c r="M939" s="43"/>
      <c r="N939" s="46"/>
      <c r="O939" s="46"/>
      <c r="P939" s="45"/>
      <c r="Q939" s="45"/>
      <c r="R939" s="45"/>
      <c r="S939" s="43"/>
      <c r="T939" s="43"/>
      <c r="U939" s="43"/>
      <c r="V939" s="43"/>
      <c r="W939" s="43"/>
      <c r="X939" s="43"/>
      <c r="Y939" s="43"/>
      <c r="Z939" s="43"/>
      <c r="AA939" s="43"/>
      <c r="AB939" s="43"/>
      <c r="AC939" s="43"/>
      <c r="AD939" s="43"/>
      <c r="AE939" s="48"/>
      <c r="AF939" s="48"/>
      <c r="AG939" s="48"/>
      <c r="AH939" s="50"/>
    </row>
    <row r="940" spans="8:34" ht="12.5">
      <c r="H940" s="43"/>
      <c r="I940" s="43"/>
      <c r="J940" s="43"/>
      <c r="K940" s="44"/>
      <c r="L940" s="45"/>
      <c r="M940" s="43"/>
      <c r="N940" s="46"/>
      <c r="O940" s="46"/>
      <c r="P940" s="45"/>
      <c r="Q940" s="45"/>
      <c r="R940" s="45"/>
      <c r="S940" s="43"/>
      <c r="T940" s="43"/>
      <c r="U940" s="43"/>
      <c r="V940" s="43"/>
      <c r="W940" s="43"/>
      <c r="X940" s="43"/>
      <c r="Y940" s="43"/>
      <c r="Z940" s="43"/>
      <c r="AA940" s="43"/>
      <c r="AB940" s="43"/>
      <c r="AC940" s="43"/>
      <c r="AD940" s="43"/>
      <c r="AE940" s="48"/>
      <c r="AF940" s="48"/>
      <c r="AG940" s="48"/>
      <c r="AH940" s="50"/>
    </row>
    <row r="941" spans="8:34" ht="12.5">
      <c r="H941" s="43"/>
      <c r="I941" s="43"/>
      <c r="J941" s="43"/>
      <c r="K941" s="44"/>
      <c r="L941" s="45"/>
      <c r="M941" s="43"/>
      <c r="N941" s="46"/>
      <c r="O941" s="46"/>
      <c r="P941" s="45"/>
      <c r="Q941" s="45"/>
      <c r="R941" s="45"/>
      <c r="S941" s="43"/>
      <c r="T941" s="43"/>
      <c r="U941" s="43"/>
      <c r="V941" s="43"/>
      <c r="W941" s="43"/>
      <c r="X941" s="43"/>
      <c r="Y941" s="43"/>
      <c r="Z941" s="43"/>
      <c r="AA941" s="43"/>
      <c r="AB941" s="43"/>
      <c r="AC941" s="43"/>
      <c r="AD941" s="43"/>
      <c r="AE941" s="48"/>
      <c r="AF941" s="48"/>
      <c r="AG941" s="48"/>
      <c r="AH941" s="50"/>
    </row>
    <row r="942" spans="8:34" ht="12.5">
      <c r="H942" s="43"/>
      <c r="I942" s="43"/>
      <c r="J942" s="43"/>
      <c r="K942" s="44"/>
      <c r="L942" s="45"/>
      <c r="M942" s="43"/>
      <c r="N942" s="46"/>
      <c r="O942" s="46"/>
      <c r="P942" s="45"/>
      <c r="Q942" s="45"/>
      <c r="R942" s="45"/>
      <c r="S942" s="43"/>
      <c r="T942" s="43"/>
      <c r="U942" s="43"/>
      <c r="V942" s="43"/>
      <c r="W942" s="43"/>
      <c r="X942" s="43"/>
      <c r="Y942" s="43"/>
      <c r="Z942" s="43"/>
      <c r="AA942" s="43"/>
      <c r="AB942" s="43"/>
      <c r="AC942" s="43"/>
      <c r="AD942" s="43"/>
      <c r="AE942" s="48"/>
      <c r="AF942" s="48"/>
      <c r="AG942" s="48"/>
      <c r="AH942" s="50"/>
    </row>
    <row r="943" spans="8:34" ht="12.5">
      <c r="H943" s="43"/>
      <c r="I943" s="43"/>
      <c r="J943" s="43"/>
      <c r="K943" s="44"/>
      <c r="L943" s="45"/>
      <c r="M943" s="43"/>
      <c r="N943" s="46"/>
      <c r="O943" s="46"/>
      <c r="P943" s="45"/>
      <c r="Q943" s="45"/>
      <c r="R943" s="45"/>
      <c r="S943" s="43"/>
      <c r="T943" s="43"/>
      <c r="U943" s="43"/>
      <c r="V943" s="43"/>
      <c r="W943" s="43"/>
      <c r="X943" s="43"/>
      <c r="Y943" s="43"/>
      <c r="Z943" s="43"/>
      <c r="AA943" s="43"/>
      <c r="AB943" s="43"/>
      <c r="AC943" s="43"/>
      <c r="AD943" s="43"/>
      <c r="AE943" s="48"/>
      <c r="AF943" s="48"/>
      <c r="AG943" s="48"/>
      <c r="AH943" s="50"/>
    </row>
    <row r="944" spans="8:34" ht="12.5">
      <c r="H944" s="43"/>
      <c r="I944" s="43"/>
      <c r="J944" s="43"/>
      <c r="K944" s="44"/>
      <c r="L944" s="45"/>
      <c r="M944" s="43"/>
      <c r="N944" s="46"/>
      <c r="O944" s="46"/>
      <c r="P944" s="45"/>
      <c r="Q944" s="45"/>
      <c r="R944" s="45"/>
      <c r="S944" s="43"/>
      <c r="T944" s="43"/>
      <c r="U944" s="43"/>
      <c r="V944" s="43"/>
      <c r="W944" s="43"/>
      <c r="X944" s="43"/>
      <c r="Y944" s="43"/>
      <c r="Z944" s="43"/>
      <c r="AA944" s="43"/>
      <c r="AB944" s="43"/>
      <c r="AC944" s="43"/>
      <c r="AD944" s="43"/>
      <c r="AE944" s="48"/>
      <c r="AF944" s="48"/>
      <c r="AG944" s="48"/>
      <c r="AH944" s="50"/>
    </row>
    <row r="945" spans="8:34" ht="12.5">
      <c r="H945" s="43"/>
      <c r="I945" s="43"/>
      <c r="J945" s="43"/>
      <c r="K945" s="44"/>
      <c r="L945" s="45"/>
      <c r="M945" s="43"/>
      <c r="N945" s="46"/>
      <c r="O945" s="46"/>
      <c r="P945" s="45"/>
      <c r="Q945" s="45"/>
      <c r="R945" s="45"/>
      <c r="S945" s="43"/>
      <c r="T945" s="43"/>
      <c r="U945" s="43"/>
      <c r="V945" s="43"/>
      <c r="W945" s="43"/>
      <c r="X945" s="43"/>
      <c r="Y945" s="43"/>
      <c r="Z945" s="43"/>
      <c r="AA945" s="43"/>
      <c r="AB945" s="43"/>
      <c r="AC945" s="43"/>
      <c r="AD945" s="43"/>
      <c r="AE945" s="48"/>
      <c r="AF945" s="48"/>
      <c r="AG945" s="48"/>
      <c r="AH945" s="50"/>
    </row>
    <row r="946" spans="8:34" ht="12.5">
      <c r="H946" s="43"/>
      <c r="I946" s="43"/>
      <c r="J946" s="43"/>
      <c r="K946" s="44"/>
      <c r="L946" s="45"/>
      <c r="M946" s="43"/>
      <c r="N946" s="46"/>
      <c r="O946" s="46"/>
      <c r="P946" s="45"/>
      <c r="Q946" s="45"/>
      <c r="R946" s="45"/>
      <c r="S946" s="43"/>
      <c r="T946" s="43"/>
      <c r="U946" s="43"/>
      <c r="V946" s="43"/>
      <c r="W946" s="43"/>
      <c r="X946" s="43"/>
      <c r="Y946" s="43"/>
      <c r="Z946" s="43"/>
      <c r="AA946" s="43"/>
      <c r="AB946" s="43"/>
      <c r="AC946" s="43"/>
      <c r="AD946" s="43"/>
      <c r="AE946" s="48"/>
      <c r="AF946" s="48"/>
      <c r="AG946" s="48"/>
      <c r="AH946" s="50"/>
    </row>
    <row r="947" spans="8:34" ht="12.5">
      <c r="H947" s="43"/>
      <c r="I947" s="43"/>
      <c r="J947" s="43"/>
      <c r="K947" s="44"/>
      <c r="L947" s="45"/>
      <c r="M947" s="43"/>
      <c r="N947" s="46"/>
      <c r="O947" s="46"/>
      <c r="P947" s="45"/>
      <c r="Q947" s="45"/>
      <c r="R947" s="45"/>
      <c r="S947" s="43"/>
      <c r="T947" s="43"/>
      <c r="U947" s="43"/>
      <c r="V947" s="43"/>
      <c r="W947" s="43"/>
      <c r="X947" s="43"/>
      <c r="Y947" s="43"/>
      <c r="Z947" s="43"/>
      <c r="AA947" s="43"/>
      <c r="AB947" s="43"/>
      <c r="AC947" s="43"/>
      <c r="AD947" s="43"/>
      <c r="AE947" s="48"/>
      <c r="AF947" s="48"/>
      <c r="AG947" s="48"/>
      <c r="AH947" s="50"/>
    </row>
    <row r="948" spans="8:34" ht="12.5">
      <c r="H948" s="43"/>
      <c r="I948" s="43"/>
      <c r="J948" s="43"/>
      <c r="K948" s="44"/>
      <c r="L948" s="45"/>
      <c r="M948" s="43"/>
      <c r="N948" s="46"/>
      <c r="O948" s="46"/>
      <c r="P948" s="45"/>
      <c r="Q948" s="45"/>
      <c r="R948" s="45"/>
      <c r="S948" s="43"/>
      <c r="T948" s="43"/>
      <c r="U948" s="43"/>
      <c r="V948" s="43"/>
      <c r="W948" s="43"/>
      <c r="X948" s="43"/>
      <c r="Y948" s="43"/>
      <c r="Z948" s="43"/>
      <c r="AA948" s="43"/>
      <c r="AB948" s="43"/>
      <c r="AC948" s="43"/>
      <c r="AD948" s="43"/>
      <c r="AE948" s="48"/>
      <c r="AF948" s="48"/>
      <c r="AG948" s="48"/>
      <c r="AH948" s="50"/>
    </row>
    <row r="949" spans="8:34" ht="12.5">
      <c r="H949" s="43"/>
      <c r="I949" s="43"/>
      <c r="J949" s="43"/>
      <c r="K949" s="44"/>
      <c r="L949" s="45"/>
      <c r="M949" s="43"/>
      <c r="N949" s="46"/>
      <c r="O949" s="46"/>
      <c r="P949" s="45"/>
      <c r="Q949" s="45"/>
      <c r="R949" s="45"/>
      <c r="S949" s="43"/>
      <c r="T949" s="43"/>
      <c r="U949" s="43"/>
      <c r="V949" s="43"/>
      <c r="W949" s="43"/>
      <c r="X949" s="43"/>
      <c r="Y949" s="43"/>
      <c r="Z949" s="43"/>
      <c r="AA949" s="43"/>
      <c r="AB949" s="43"/>
      <c r="AC949" s="43"/>
      <c r="AD949" s="43"/>
      <c r="AE949" s="48"/>
      <c r="AF949" s="48"/>
      <c r="AG949" s="48"/>
      <c r="AH949" s="50"/>
    </row>
    <row r="950" spans="8:34" ht="12.5">
      <c r="H950" s="43"/>
      <c r="I950" s="43"/>
      <c r="J950" s="43"/>
      <c r="K950" s="44"/>
      <c r="L950" s="45"/>
      <c r="M950" s="43"/>
      <c r="N950" s="46"/>
      <c r="O950" s="46"/>
      <c r="P950" s="45"/>
      <c r="Q950" s="45"/>
      <c r="R950" s="45"/>
      <c r="S950" s="43"/>
      <c r="T950" s="43"/>
      <c r="U950" s="43"/>
      <c r="V950" s="43"/>
      <c r="W950" s="43"/>
      <c r="X950" s="43"/>
      <c r="Y950" s="43"/>
      <c r="Z950" s="43"/>
      <c r="AA950" s="43"/>
      <c r="AB950" s="43"/>
      <c r="AC950" s="43"/>
      <c r="AD950" s="43"/>
      <c r="AE950" s="48"/>
      <c r="AF950" s="48"/>
      <c r="AG950" s="48"/>
      <c r="AH950" s="50"/>
    </row>
    <row r="951" spans="8:34" ht="12.5">
      <c r="H951" s="43"/>
      <c r="I951" s="43"/>
      <c r="J951" s="43"/>
      <c r="K951" s="44"/>
      <c r="L951" s="45"/>
      <c r="M951" s="43"/>
      <c r="N951" s="46"/>
      <c r="O951" s="46"/>
      <c r="P951" s="45"/>
      <c r="Q951" s="45"/>
      <c r="R951" s="45"/>
      <c r="S951" s="43"/>
      <c r="T951" s="43"/>
      <c r="U951" s="43"/>
      <c r="V951" s="43"/>
      <c r="W951" s="43"/>
      <c r="X951" s="43"/>
      <c r="Y951" s="43"/>
      <c r="Z951" s="43"/>
      <c r="AA951" s="43"/>
      <c r="AB951" s="43"/>
      <c r="AC951" s="43"/>
      <c r="AD951" s="43"/>
      <c r="AE951" s="48"/>
      <c r="AF951" s="48"/>
      <c r="AG951" s="48"/>
      <c r="AH951" s="50"/>
    </row>
    <row r="952" spans="8:34" ht="12.5">
      <c r="H952" s="43"/>
      <c r="I952" s="43"/>
      <c r="J952" s="43"/>
      <c r="K952" s="44"/>
      <c r="L952" s="45"/>
      <c r="M952" s="43"/>
      <c r="N952" s="46"/>
      <c r="O952" s="46"/>
      <c r="P952" s="45"/>
      <c r="Q952" s="45"/>
      <c r="R952" s="45"/>
      <c r="S952" s="43"/>
      <c r="T952" s="43"/>
      <c r="U952" s="43"/>
      <c r="V952" s="43"/>
      <c r="W952" s="43"/>
      <c r="X952" s="43"/>
      <c r="Y952" s="43"/>
      <c r="Z952" s="43"/>
      <c r="AA952" s="43"/>
      <c r="AB952" s="43"/>
      <c r="AC952" s="43"/>
      <c r="AD952" s="43"/>
      <c r="AE952" s="48"/>
      <c r="AF952" s="48"/>
      <c r="AG952" s="48"/>
      <c r="AH952" s="50"/>
    </row>
    <row r="953" spans="8:34" ht="12.5">
      <c r="H953" s="43"/>
      <c r="I953" s="43"/>
      <c r="J953" s="43"/>
      <c r="K953" s="44"/>
      <c r="L953" s="45"/>
      <c r="M953" s="43"/>
      <c r="N953" s="46"/>
      <c r="O953" s="46"/>
      <c r="P953" s="45"/>
      <c r="Q953" s="45"/>
      <c r="R953" s="45"/>
      <c r="S953" s="43"/>
      <c r="T953" s="43"/>
      <c r="U953" s="43"/>
      <c r="V953" s="43"/>
      <c r="W953" s="43"/>
      <c r="X953" s="43"/>
      <c r="Y953" s="43"/>
      <c r="Z953" s="43"/>
      <c r="AA953" s="43"/>
      <c r="AB953" s="43"/>
      <c r="AC953" s="43"/>
      <c r="AD953" s="43"/>
      <c r="AE953" s="48"/>
      <c r="AF953" s="48"/>
      <c r="AG953" s="48"/>
      <c r="AH953" s="50"/>
    </row>
    <row r="954" spans="8:34" ht="12.5">
      <c r="H954" s="43"/>
      <c r="I954" s="43"/>
      <c r="J954" s="43"/>
      <c r="K954" s="44"/>
      <c r="L954" s="45"/>
      <c r="M954" s="43"/>
      <c r="N954" s="46"/>
      <c r="O954" s="46"/>
      <c r="P954" s="45"/>
      <c r="Q954" s="45"/>
      <c r="R954" s="45"/>
      <c r="S954" s="43"/>
      <c r="T954" s="43"/>
      <c r="U954" s="43"/>
      <c r="V954" s="43"/>
      <c r="W954" s="43"/>
      <c r="X954" s="43"/>
      <c r="Y954" s="43"/>
      <c r="Z954" s="43"/>
      <c r="AA954" s="43"/>
      <c r="AB954" s="43"/>
      <c r="AC954" s="43"/>
      <c r="AD954" s="43"/>
      <c r="AE954" s="48"/>
      <c r="AF954" s="48"/>
      <c r="AG954" s="48"/>
      <c r="AH954" s="50"/>
    </row>
    <row r="955" spans="8:34" ht="12.5">
      <c r="H955" s="43"/>
      <c r="I955" s="43"/>
      <c r="J955" s="43"/>
      <c r="K955" s="44"/>
      <c r="L955" s="45"/>
      <c r="M955" s="43"/>
      <c r="N955" s="46"/>
      <c r="O955" s="46"/>
      <c r="P955" s="45"/>
      <c r="Q955" s="45"/>
      <c r="R955" s="45"/>
      <c r="S955" s="43"/>
      <c r="T955" s="43"/>
      <c r="U955" s="43"/>
      <c r="V955" s="43"/>
      <c r="W955" s="43"/>
      <c r="X955" s="43"/>
      <c r="Y955" s="43"/>
      <c r="Z955" s="43"/>
      <c r="AA955" s="43"/>
      <c r="AB955" s="43"/>
      <c r="AC955" s="43"/>
      <c r="AD955" s="43"/>
      <c r="AE955" s="48"/>
      <c r="AF955" s="48"/>
      <c r="AG955" s="48"/>
      <c r="AH955" s="50"/>
    </row>
    <row r="956" spans="8:34" ht="12.5">
      <c r="H956" s="43"/>
      <c r="I956" s="43"/>
      <c r="J956" s="43"/>
      <c r="K956" s="44"/>
      <c r="L956" s="45"/>
      <c r="M956" s="43"/>
      <c r="N956" s="46"/>
      <c r="O956" s="46"/>
      <c r="P956" s="45"/>
      <c r="Q956" s="45"/>
      <c r="R956" s="45"/>
      <c r="S956" s="43"/>
      <c r="T956" s="43"/>
      <c r="U956" s="43"/>
      <c r="V956" s="43"/>
      <c r="W956" s="43"/>
      <c r="X956" s="43"/>
      <c r="Y956" s="43"/>
      <c r="Z956" s="43"/>
      <c r="AA956" s="43"/>
      <c r="AB956" s="43"/>
      <c r="AC956" s="43"/>
      <c r="AD956" s="43"/>
      <c r="AE956" s="48"/>
      <c r="AF956" s="48"/>
      <c r="AG956" s="48"/>
      <c r="AH956" s="50"/>
    </row>
    <row r="957" spans="8:34" ht="12.5">
      <c r="H957" s="43"/>
      <c r="I957" s="43"/>
      <c r="J957" s="43"/>
      <c r="K957" s="44"/>
      <c r="L957" s="45"/>
      <c r="M957" s="43"/>
      <c r="N957" s="46"/>
      <c r="O957" s="46"/>
      <c r="P957" s="45"/>
      <c r="Q957" s="45"/>
      <c r="R957" s="45"/>
      <c r="S957" s="43"/>
      <c r="T957" s="43"/>
      <c r="U957" s="43"/>
      <c r="V957" s="43"/>
      <c r="W957" s="43"/>
      <c r="X957" s="43"/>
      <c r="Y957" s="43"/>
      <c r="Z957" s="43"/>
      <c r="AA957" s="43"/>
      <c r="AB957" s="43"/>
      <c r="AC957" s="43"/>
      <c r="AD957" s="43"/>
      <c r="AE957" s="48"/>
      <c r="AF957" s="48"/>
      <c r="AG957" s="48"/>
      <c r="AH957" s="50"/>
    </row>
    <row r="958" spans="8:34" ht="12.5">
      <c r="H958" s="43"/>
      <c r="I958" s="43"/>
      <c r="J958" s="43"/>
      <c r="K958" s="44"/>
      <c r="L958" s="45"/>
      <c r="M958" s="43"/>
      <c r="N958" s="46"/>
      <c r="O958" s="46"/>
      <c r="P958" s="45"/>
      <c r="Q958" s="45"/>
      <c r="R958" s="45"/>
      <c r="S958" s="43"/>
      <c r="T958" s="43"/>
      <c r="U958" s="43"/>
      <c r="V958" s="43"/>
      <c r="W958" s="43"/>
      <c r="X958" s="43"/>
      <c r="Y958" s="43"/>
      <c r="Z958" s="43"/>
      <c r="AA958" s="43"/>
      <c r="AB958" s="43"/>
      <c r="AC958" s="43"/>
      <c r="AD958" s="43"/>
      <c r="AE958" s="48"/>
      <c r="AF958" s="48"/>
      <c r="AG958" s="48"/>
      <c r="AH958" s="50"/>
    </row>
    <row r="959" spans="8:34" ht="12.5">
      <c r="H959" s="43"/>
      <c r="I959" s="43"/>
      <c r="J959" s="43"/>
      <c r="K959" s="44"/>
      <c r="L959" s="45"/>
      <c r="M959" s="43"/>
      <c r="N959" s="46"/>
      <c r="O959" s="46"/>
      <c r="P959" s="45"/>
      <c r="Q959" s="45"/>
      <c r="R959" s="45"/>
      <c r="S959" s="43"/>
      <c r="T959" s="43"/>
      <c r="U959" s="43"/>
      <c r="V959" s="43"/>
      <c r="W959" s="43"/>
      <c r="X959" s="43"/>
      <c r="Y959" s="43"/>
      <c r="Z959" s="43"/>
      <c r="AA959" s="43"/>
      <c r="AB959" s="43"/>
      <c r="AC959" s="43"/>
      <c r="AD959" s="43"/>
      <c r="AE959" s="48"/>
      <c r="AF959" s="48"/>
      <c r="AG959" s="48"/>
      <c r="AH959" s="50"/>
    </row>
    <row r="960" spans="8:34" ht="12.5">
      <c r="H960" s="43"/>
      <c r="I960" s="43"/>
      <c r="J960" s="43"/>
      <c r="K960" s="44"/>
      <c r="L960" s="45"/>
      <c r="M960" s="43"/>
      <c r="N960" s="46"/>
      <c r="O960" s="46"/>
      <c r="P960" s="45"/>
      <c r="Q960" s="45"/>
      <c r="R960" s="45"/>
      <c r="S960" s="43"/>
      <c r="T960" s="43"/>
      <c r="U960" s="43"/>
      <c r="V960" s="43"/>
      <c r="W960" s="43"/>
      <c r="X960" s="43"/>
      <c r="Y960" s="43"/>
      <c r="Z960" s="43"/>
      <c r="AA960" s="43"/>
      <c r="AB960" s="43"/>
      <c r="AC960" s="43"/>
      <c r="AD960" s="43"/>
      <c r="AE960" s="48"/>
      <c r="AF960" s="48"/>
      <c r="AG960" s="48"/>
      <c r="AH960" s="50"/>
    </row>
    <row r="961" spans="8:34" ht="12.5">
      <c r="H961" s="43"/>
      <c r="I961" s="43"/>
      <c r="J961" s="43"/>
      <c r="K961" s="44"/>
      <c r="L961" s="45"/>
      <c r="M961" s="43"/>
      <c r="N961" s="46"/>
      <c r="O961" s="46"/>
      <c r="P961" s="45"/>
      <c r="Q961" s="45"/>
      <c r="R961" s="45"/>
      <c r="S961" s="43"/>
      <c r="T961" s="43"/>
      <c r="U961" s="43"/>
      <c r="V961" s="43"/>
      <c r="W961" s="43"/>
      <c r="X961" s="43"/>
      <c r="Y961" s="43"/>
      <c r="Z961" s="43"/>
      <c r="AA961" s="43"/>
      <c r="AB961" s="43"/>
      <c r="AC961" s="43"/>
      <c r="AD961" s="43"/>
      <c r="AE961" s="48"/>
      <c r="AF961" s="48"/>
      <c r="AG961" s="48"/>
      <c r="AH961" s="50"/>
    </row>
    <row r="962" spans="8:34" ht="12.5">
      <c r="H962" s="43"/>
      <c r="I962" s="43"/>
      <c r="J962" s="43"/>
      <c r="K962" s="44"/>
      <c r="L962" s="45"/>
      <c r="M962" s="43"/>
      <c r="N962" s="46"/>
      <c r="O962" s="46"/>
      <c r="P962" s="45"/>
      <c r="Q962" s="45"/>
      <c r="R962" s="45"/>
      <c r="S962" s="43"/>
      <c r="T962" s="43"/>
      <c r="U962" s="43"/>
      <c r="V962" s="43"/>
      <c r="W962" s="43"/>
      <c r="X962" s="43"/>
      <c r="Y962" s="43"/>
      <c r="Z962" s="43"/>
      <c r="AA962" s="43"/>
      <c r="AB962" s="43"/>
      <c r="AC962" s="43"/>
      <c r="AD962" s="43"/>
      <c r="AE962" s="48"/>
      <c r="AF962" s="48"/>
      <c r="AG962" s="48"/>
      <c r="AH962" s="50"/>
    </row>
    <row r="963" spans="8:34" ht="12.5">
      <c r="H963" s="43"/>
      <c r="I963" s="43"/>
      <c r="J963" s="43"/>
      <c r="K963" s="44"/>
      <c r="L963" s="45"/>
      <c r="M963" s="43"/>
      <c r="N963" s="46"/>
      <c r="O963" s="46"/>
      <c r="P963" s="45"/>
      <c r="Q963" s="45"/>
      <c r="R963" s="45"/>
      <c r="S963" s="43"/>
      <c r="T963" s="43"/>
      <c r="U963" s="43"/>
      <c r="V963" s="43"/>
      <c r="W963" s="43"/>
      <c r="X963" s="43"/>
      <c r="Y963" s="43"/>
      <c r="Z963" s="43"/>
      <c r="AA963" s="43"/>
      <c r="AB963" s="43"/>
      <c r="AC963" s="43"/>
      <c r="AD963" s="43"/>
      <c r="AE963" s="48"/>
      <c r="AF963" s="48"/>
      <c r="AG963" s="48"/>
      <c r="AH963" s="50"/>
    </row>
    <row r="964" spans="8:34" ht="12.5">
      <c r="H964" s="43"/>
      <c r="I964" s="43"/>
      <c r="J964" s="43"/>
      <c r="K964" s="44"/>
      <c r="L964" s="45"/>
      <c r="M964" s="43"/>
      <c r="N964" s="46"/>
      <c r="O964" s="46"/>
      <c r="P964" s="45"/>
      <c r="Q964" s="45"/>
      <c r="R964" s="45"/>
      <c r="S964" s="43"/>
      <c r="T964" s="43"/>
      <c r="U964" s="43"/>
      <c r="V964" s="43"/>
      <c r="W964" s="43"/>
      <c r="X964" s="43"/>
      <c r="Y964" s="43"/>
      <c r="Z964" s="43"/>
      <c r="AA964" s="43"/>
      <c r="AB964" s="43"/>
      <c r="AC964" s="43"/>
      <c r="AD964" s="43"/>
      <c r="AE964" s="48"/>
      <c r="AF964" s="48"/>
      <c r="AG964" s="48"/>
      <c r="AH964" s="50"/>
    </row>
    <row r="965" spans="8:34" ht="12.5">
      <c r="H965" s="43"/>
      <c r="I965" s="43"/>
      <c r="J965" s="43"/>
      <c r="K965" s="44"/>
      <c r="L965" s="45"/>
      <c r="M965" s="43"/>
      <c r="N965" s="46"/>
      <c r="O965" s="46"/>
      <c r="P965" s="45"/>
      <c r="Q965" s="45"/>
      <c r="R965" s="45"/>
      <c r="S965" s="43"/>
      <c r="T965" s="43"/>
      <c r="U965" s="43"/>
      <c r="V965" s="43"/>
      <c r="W965" s="43"/>
      <c r="X965" s="43"/>
      <c r="Y965" s="43"/>
      <c r="Z965" s="43"/>
      <c r="AA965" s="43"/>
      <c r="AB965" s="43"/>
      <c r="AC965" s="43"/>
      <c r="AD965" s="43"/>
      <c r="AE965" s="48"/>
      <c r="AF965" s="48"/>
      <c r="AG965" s="48"/>
      <c r="AH965" s="50"/>
    </row>
    <row r="966" spans="8:34" ht="12.5">
      <c r="H966" s="43"/>
      <c r="I966" s="43"/>
      <c r="J966" s="43"/>
      <c r="K966" s="44"/>
      <c r="L966" s="45"/>
      <c r="M966" s="43"/>
      <c r="N966" s="46"/>
      <c r="O966" s="46"/>
      <c r="P966" s="45"/>
      <c r="Q966" s="45"/>
      <c r="R966" s="45"/>
      <c r="S966" s="43"/>
      <c r="T966" s="43"/>
      <c r="U966" s="43"/>
      <c r="V966" s="43"/>
      <c r="W966" s="43"/>
      <c r="X966" s="43"/>
      <c r="Y966" s="43"/>
      <c r="Z966" s="43"/>
      <c r="AA966" s="43"/>
      <c r="AB966" s="43"/>
      <c r="AC966" s="43"/>
      <c r="AD966" s="43"/>
      <c r="AE966" s="48"/>
      <c r="AF966" s="48"/>
      <c r="AG966" s="48"/>
      <c r="AH966" s="50"/>
    </row>
    <row r="967" spans="8:34" ht="12.5">
      <c r="H967" s="43"/>
      <c r="I967" s="43"/>
      <c r="J967" s="43"/>
      <c r="K967" s="44"/>
      <c r="L967" s="45"/>
      <c r="M967" s="43"/>
      <c r="N967" s="46"/>
      <c r="O967" s="46"/>
      <c r="P967" s="45"/>
      <c r="Q967" s="45"/>
      <c r="R967" s="45"/>
      <c r="S967" s="43"/>
      <c r="T967" s="43"/>
      <c r="U967" s="43"/>
      <c r="V967" s="43"/>
      <c r="W967" s="43"/>
      <c r="X967" s="43"/>
      <c r="Y967" s="43"/>
      <c r="Z967" s="43"/>
      <c r="AA967" s="43"/>
      <c r="AB967" s="43"/>
      <c r="AC967" s="43"/>
      <c r="AD967" s="43"/>
      <c r="AE967" s="48"/>
      <c r="AF967" s="48"/>
      <c r="AG967" s="48"/>
      <c r="AH967" s="50"/>
    </row>
    <row r="968" spans="8:34" ht="12.5">
      <c r="H968" s="43"/>
      <c r="I968" s="43"/>
      <c r="J968" s="43"/>
      <c r="K968" s="44"/>
      <c r="L968" s="45"/>
      <c r="M968" s="43"/>
      <c r="N968" s="46"/>
      <c r="O968" s="46"/>
      <c r="P968" s="45"/>
      <c r="Q968" s="45"/>
      <c r="R968" s="45"/>
      <c r="S968" s="43"/>
      <c r="T968" s="43"/>
      <c r="U968" s="43"/>
      <c r="V968" s="43"/>
      <c r="W968" s="43"/>
      <c r="X968" s="43"/>
      <c r="Y968" s="43"/>
      <c r="Z968" s="43"/>
      <c r="AA968" s="43"/>
      <c r="AB968" s="43"/>
      <c r="AC968" s="43"/>
      <c r="AD968" s="43"/>
      <c r="AE968" s="48"/>
      <c r="AF968" s="48"/>
      <c r="AG968" s="48"/>
      <c r="AH968" s="50"/>
    </row>
    <row r="969" spans="8:34" ht="12.5">
      <c r="H969" s="43"/>
      <c r="I969" s="43"/>
      <c r="J969" s="43"/>
      <c r="K969" s="44"/>
      <c r="L969" s="45"/>
      <c r="M969" s="43"/>
      <c r="N969" s="46"/>
      <c r="O969" s="46"/>
      <c r="P969" s="45"/>
      <c r="Q969" s="45"/>
      <c r="R969" s="45"/>
      <c r="S969" s="43"/>
      <c r="T969" s="43"/>
      <c r="U969" s="43"/>
      <c r="V969" s="43"/>
      <c r="W969" s="43"/>
      <c r="X969" s="43"/>
      <c r="Y969" s="43"/>
      <c r="Z969" s="43"/>
      <c r="AA969" s="43"/>
      <c r="AB969" s="43"/>
      <c r="AC969" s="43"/>
      <c r="AD969" s="43"/>
      <c r="AE969" s="48"/>
      <c r="AF969" s="48"/>
      <c r="AG969" s="48"/>
      <c r="AH969" s="50"/>
    </row>
    <row r="970" spans="8:34" ht="12.5">
      <c r="H970" s="43"/>
      <c r="I970" s="43"/>
      <c r="J970" s="43"/>
      <c r="K970" s="44"/>
      <c r="L970" s="45"/>
      <c r="M970" s="43"/>
      <c r="N970" s="46"/>
      <c r="O970" s="46"/>
      <c r="P970" s="45"/>
      <c r="Q970" s="45"/>
      <c r="R970" s="45"/>
      <c r="S970" s="43"/>
      <c r="T970" s="43"/>
      <c r="U970" s="43"/>
      <c r="V970" s="43"/>
      <c r="W970" s="43"/>
      <c r="X970" s="43"/>
      <c r="Y970" s="43"/>
      <c r="Z970" s="43"/>
      <c r="AA970" s="43"/>
      <c r="AB970" s="43"/>
      <c r="AC970" s="43"/>
      <c r="AD970" s="43"/>
      <c r="AE970" s="48"/>
      <c r="AF970" s="48"/>
      <c r="AG970" s="48"/>
      <c r="AH970" s="50"/>
    </row>
    <row r="971" spans="8:34" ht="12.5">
      <c r="H971" s="43"/>
      <c r="I971" s="43"/>
      <c r="J971" s="43"/>
      <c r="K971" s="44"/>
      <c r="L971" s="45"/>
      <c r="M971" s="43"/>
      <c r="N971" s="46"/>
      <c r="O971" s="46"/>
      <c r="P971" s="45"/>
      <c r="Q971" s="45"/>
      <c r="R971" s="45"/>
      <c r="S971" s="43"/>
      <c r="T971" s="43"/>
      <c r="U971" s="43"/>
      <c r="V971" s="43"/>
      <c r="W971" s="43"/>
      <c r="X971" s="43"/>
      <c r="Y971" s="43"/>
      <c r="Z971" s="43"/>
      <c r="AA971" s="43"/>
      <c r="AB971" s="43"/>
      <c r="AC971" s="43"/>
      <c r="AD971" s="43"/>
      <c r="AE971" s="48"/>
      <c r="AF971" s="48"/>
      <c r="AG971" s="48"/>
      <c r="AH971" s="50"/>
    </row>
    <row r="972" spans="8:34" ht="12.5">
      <c r="H972" s="43"/>
      <c r="I972" s="43"/>
      <c r="J972" s="43"/>
      <c r="K972" s="44"/>
      <c r="L972" s="45"/>
      <c r="M972" s="43"/>
      <c r="N972" s="46"/>
      <c r="O972" s="46"/>
      <c r="P972" s="45"/>
      <c r="Q972" s="45"/>
      <c r="R972" s="45"/>
      <c r="S972" s="43"/>
      <c r="T972" s="43"/>
      <c r="U972" s="43"/>
      <c r="V972" s="43"/>
      <c r="W972" s="43"/>
      <c r="X972" s="43"/>
      <c r="Y972" s="43"/>
      <c r="Z972" s="43"/>
      <c r="AA972" s="43"/>
      <c r="AB972" s="43"/>
      <c r="AC972" s="43"/>
      <c r="AD972" s="43"/>
      <c r="AE972" s="48"/>
      <c r="AF972" s="48"/>
      <c r="AG972" s="48"/>
      <c r="AH972" s="50"/>
    </row>
    <row r="973" spans="8:34" ht="12.5">
      <c r="H973" s="43"/>
      <c r="I973" s="43"/>
      <c r="J973" s="43"/>
      <c r="K973" s="44"/>
      <c r="L973" s="45"/>
      <c r="M973" s="43"/>
      <c r="N973" s="46"/>
      <c r="O973" s="46"/>
      <c r="P973" s="45"/>
      <c r="Q973" s="45"/>
      <c r="R973" s="45"/>
      <c r="S973" s="43"/>
      <c r="T973" s="43"/>
      <c r="U973" s="43"/>
      <c r="V973" s="43"/>
      <c r="W973" s="43"/>
      <c r="X973" s="43"/>
      <c r="Y973" s="43"/>
      <c r="Z973" s="43"/>
      <c r="AA973" s="43"/>
      <c r="AB973" s="43"/>
      <c r="AC973" s="43"/>
      <c r="AD973" s="43"/>
      <c r="AE973" s="48"/>
      <c r="AF973" s="48"/>
      <c r="AG973" s="48"/>
      <c r="AH973" s="50"/>
    </row>
    <row r="974" spans="8:34" ht="12.5">
      <c r="H974" s="43"/>
      <c r="I974" s="43"/>
      <c r="J974" s="43"/>
      <c r="K974" s="44"/>
      <c r="L974" s="45"/>
      <c r="M974" s="43"/>
      <c r="N974" s="46"/>
      <c r="O974" s="46"/>
      <c r="P974" s="45"/>
      <c r="Q974" s="45"/>
      <c r="R974" s="45"/>
      <c r="S974" s="43"/>
      <c r="T974" s="43"/>
      <c r="U974" s="43"/>
      <c r="V974" s="43"/>
      <c r="W974" s="43"/>
      <c r="X974" s="43"/>
      <c r="Y974" s="43"/>
      <c r="Z974" s="43"/>
      <c r="AA974" s="43"/>
      <c r="AB974" s="43"/>
      <c r="AC974" s="43"/>
      <c r="AD974" s="43"/>
      <c r="AE974" s="48"/>
      <c r="AF974" s="48"/>
      <c r="AG974" s="48"/>
      <c r="AH974" s="50"/>
    </row>
    <row r="975" spans="8:34" ht="12.5">
      <c r="H975" s="43"/>
      <c r="I975" s="43"/>
      <c r="J975" s="43"/>
      <c r="K975" s="44"/>
      <c r="L975" s="45"/>
      <c r="M975" s="43"/>
      <c r="N975" s="46"/>
      <c r="O975" s="46"/>
      <c r="P975" s="45"/>
      <c r="Q975" s="45"/>
      <c r="R975" s="45"/>
      <c r="S975" s="43"/>
      <c r="T975" s="43"/>
      <c r="U975" s="43"/>
      <c r="V975" s="43"/>
      <c r="W975" s="43"/>
      <c r="X975" s="43"/>
      <c r="Y975" s="43"/>
      <c r="Z975" s="43"/>
      <c r="AA975" s="43"/>
      <c r="AB975" s="43"/>
      <c r="AC975" s="43"/>
      <c r="AD975" s="43"/>
      <c r="AE975" s="48"/>
      <c r="AF975" s="48"/>
      <c r="AG975" s="48"/>
      <c r="AH975" s="50"/>
    </row>
    <row r="976" spans="8:34" ht="12.5">
      <c r="H976" s="43"/>
      <c r="I976" s="43"/>
      <c r="J976" s="43"/>
      <c r="K976" s="44"/>
      <c r="L976" s="45"/>
      <c r="M976" s="43"/>
      <c r="N976" s="46"/>
      <c r="O976" s="46"/>
      <c r="P976" s="45"/>
      <c r="Q976" s="45"/>
      <c r="R976" s="45"/>
      <c r="S976" s="43"/>
      <c r="T976" s="43"/>
      <c r="U976" s="43"/>
      <c r="V976" s="43"/>
      <c r="W976" s="43"/>
      <c r="X976" s="43"/>
      <c r="Y976" s="43"/>
      <c r="Z976" s="43"/>
      <c r="AA976" s="43"/>
      <c r="AB976" s="43"/>
      <c r="AC976" s="43"/>
      <c r="AD976" s="43"/>
      <c r="AE976" s="48"/>
      <c r="AF976" s="48"/>
      <c r="AG976" s="48"/>
      <c r="AH976" s="50"/>
    </row>
    <row r="977" spans="8:34" ht="12.5">
      <c r="H977" s="43"/>
      <c r="I977" s="43"/>
      <c r="J977" s="43"/>
      <c r="K977" s="44"/>
      <c r="L977" s="45"/>
      <c r="M977" s="43"/>
      <c r="N977" s="46"/>
      <c r="O977" s="46"/>
      <c r="P977" s="45"/>
      <c r="Q977" s="45"/>
      <c r="R977" s="45"/>
      <c r="S977" s="43"/>
      <c r="T977" s="43"/>
      <c r="U977" s="43"/>
      <c r="V977" s="43"/>
      <c r="W977" s="43"/>
      <c r="X977" s="43"/>
      <c r="Y977" s="43"/>
      <c r="Z977" s="43"/>
      <c r="AA977" s="43"/>
      <c r="AB977" s="43"/>
      <c r="AC977" s="43"/>
      <c r="AD977" s="43"/>
      <c r="AE977" s="48"/>
      <c r="AF977" s="48"/>
      <c r="AG977" s="48"/>
      <c r="AH977" s="50"/>
    </row>
    <row r="978" spans="8:34" ht="12.5">
      <c r="H978" s="43"/>
      <c r="I978" s="43"/>
      <c r="J978" s="43"/>
      <c r="K978" s="44"/>
      <c r="L978" s="45"/>
      <c r="M978" s="43"/>
      <c r="N978" s="46"/>
      <c r="O978" s="46"/>
      <c r="P978" s="45"/>
      <c r="Q978" s="45"/>
      <c r="R978" s="45"/>
      <c r="S978" s="43"/>
      <c r="T978" s="43"/>
      <c r="U978" s="43"/>
      <c r="V978" s="43"/>
      <c r="W978" s="43"/>
      <c r="X978" s="43"/>
      <c r="Y978" s="43"/>
      <c r="Z978" s="43"/>
      <c r="AA978" s="43"/>
      <c r="AB978" s="43"/>
      <c r="AC978" s="43"/>
      <c r="AD978" s="43"/>
      <c r="AE978" s="48"/>
      <c r="AF978" s="48"/>
      <c r="AG978" s="48"/>
      <c r="AH978" s="50"/>
    </row>
    <row r="979" spans="8:34" ht="12.5">
      <c r="H979" s="43"/>
      <c r="I979" s="43"/>
      <c r="J979" s="43"/>
      <c r="K979" s="44"/>
      <c r="L979" s="45"/>
      <c r="M979" s="43"/>
      <c r="N979" s="46"/>
      <c r="O979" s="46"/>
      <c r="P979" s="45"/>
      <c r="Q979" s="45"/>
      <c r="R979" s="45"/>
      <c r="S979" s="43"/>
      <c r="T979" s="43"/>
      <c r="U979" s="43"/>
      <c r="V979" s="43"/>
      <c r="W979" s="43"/>
      <c r="X979" s="43"/>
      <c r="Y979" s="43"/>
      <c r="Z979" s="43"/>
      <c r="AA979" s="43"/>
      <c r="AB979" s="43"/>
      <c r="AC979" s="43"/>
      <c r="AD979" s="43"/>
      <c r="AE979" s="48"/>
      <c r="AF979" s="48"/>
      <c r="AG979" s="48"/>
      <c r="AH979" s="50"/>
    </row>
    <row r="980" spans="8:34" ht="12.5">
      <c r="H980" s="43"/>
      <c r="I980" s="43"/>
      <c r="J980" s="43"/>
      <c r="K980" s="44"/>
      <c r="L980" s="45"/>
      <c r="M980" s="43"/>
      <c r="N980" s="46"/>
      <c r="O980" s="46"/>
      <c r="P980" s="45"/>
      <c r="Q980" s="45"/>
      <c r="R980" s="45"/>
      <c r="S980" s="43"/>
      <c r="T980" s="43"/>
      <c r="U980" s="43"/>
      <c r="V980" s="43"/>
      <c r="W980" s="43"/>
      <c r="X980" s="43"/>
      <c r="Y980" s="43"/>
      <c r="Z980" s="43"/>
      <c r="AA980" s="43"/>
      <c r="AB980" s="43"/>
      <c r="AC980" s="43"/>
      <c r="AD980" s="43"/>
      <c r="AE980" s="48"/>
      <c r="AF980" s="48"/>
      <c r="AG980" s="48"/>
      <c r="AH980" s="50"/>
    </row>
    <row r="981" spans="8:34" ht="12.5">
      <c r="H981" s="43"/>
      <c r="I981" s="43"/>
      <c r="J981" s="43"/>
      <c r="K981" s="44"/>
      <c r="L981" s="45"/>
      <c r="M981" s="43"/>
      <c r="N981" s="46"/>
      <c r="O981" s="46"/>
      <c r="P981" s="45"/>
      <c r="Q981" s="45"/>
      <c r="R981" s="45"/>
      <c r="S981" s="43"/>
      <c r="T981" s="43"/>
      <c r="U981" s="43"/>
      <c r="V981" s="43"/>
      <c r="W981" s="43"/>
      <c r="X981" s="43"/>
      <c r="Y981" s="43"/>
      <c r="Z981" s="43"/>
      <c r="AA981" s="43"/>
      <c r="AB981" s="43"/>
      <c r="AC981" s="43"/>
      <c r="AD981" s="43"/>
      <c r="AE981" s="48"/>
      <c r="AF981" s="48"/>
      <c r="AG981" s="48"/>
      <c r="AH981" s="50"/>
    </row>
    <row r="982" spans="8:34" ht="12.5">
      <c r="H982" s="43"/>
      <c r="I982" s="43"/>
      <c r="J982" s="43"/>
      <c r="K982" s="44"/>
      <c r="L982" s="45"/>
      <c r="M982" s="43"/>
      <c r="N982" s="46"/>
      <c r="O982" s="46"/>
      <c r="P982" s="45"/>
      <c r="Q982" s="45"/>
      <c r="R982" s="45"/>
      <c r="S982" s="43"/>
      <c r="T982" s="43"/>
      <c r="U982" s="43"/>
      <c r="V982" s="43"/>
      <c r="W982" s="43"/>
      <c r="X982" s="43"/>
      <c r="Y982" s="43"/>
      <c r="Z982" s="43"/>
      <c r="AA982" s="43"/>
      <c r="AB982" s="43"/>
      <c r="AC982" s="43"/>
      <c r="AD982" s="43"/>
      <c r="AE982" s="48"/>
      <c r="AF982" s="48"/>
      <c r="AG982" s="48"/>
      <c r="AH982" s="50"/>
    </row>
    <row r="983" spans="8:34" ht="12.5">
      <c r="H983" s="43"/>
      <c r="I983" s="43"/>
      <c r="J983" s="43"/>
      <c r="K983" s="44"/>
      <c r="L983" s="45"/>
      <c r="M983" s="43"/>
      <c r="N983" s="46"/>
      <c r="O983" s="46"/>
      <c r="P983" s="45"/>
      <c r="Q983" s="45"/>
      <c r="R983" s="45"/>
      <c r="S983" s="43"/>
      <c r="T983" s="43"/>
      <c r="U983" s="43"/>
      <c r="V983" s="43"/>
      <c r="W983" s="43"/>
      <c r="X983" s="43"/>
      <c r="Y983" s="43"/>
      <c r="Z983" s="43"/>
      <c r="AA983" s="43"/>
      <c r="AB983" s="43"/>
      <c r="AC983" s="43"/>
      <c r="AD983" s="43"/>
      <c r="AE983" s="48"/>
      <c r="AF983" s="48"/>
      <c r="AG983" s="48"/>
      <c r="AH983" s="50"/>
    </row>
    <row r="984" spans="8:34" ht="12.5">
      <c r="H984" s="43"/>
      <c r="I984" s="43"/>
      <c r="J984" s="43"/>
      <c r="K984" s="44"/>
      <c r="L984" s="45"/>
      <c r="M984" s="43"/>
      <c r="N984" s="46"/>
      <c r="O984" s="46"/>
      <c r="P984" s="45"/>
      <c r="Q984" s="45"/>
      <c r="R984" s="45"/>
      <c r="S984" s="43"/>
      <c r="T984" s="43"/>
      <c r="U984" s="43"/>
      <c r="V984" s="43"/>
      <c r="W984" s="43"/>
      <c r="X984" s="43"/>
      <c r="Y984" s="43"/>
      <c r="Z984" s="43"/>
      <c r="AA984" s="43"/>
      <c r="AB984" s="43"/>
      <c r="AC984" s="43"/>
      <c r="AD984" s="43"/>
      <c r="AE984" s="48"/>
      <c r="AF984" s="48"/>
      <c r="AG984" s="48"/>
      <c r="AH984" s="50"/>
    </row>
    <row r="985" spans="8:34" ht="12.5">
      <c r="H985" s="43"/>
      <c r="I985" s="43"/>
      <c r="J985" s="43"/>
      <c r="K985" s="44"/>
      <c r="L985" s="45"/>
      <c r="M985" s="43"/>
      <c r="N985" s="46"/>
      <c r="O985" s="46"/>
      <c r="P985" s="45"/>
      <c r="Q985" s="45"/>
      <c r="R985" s="45"/>
      <c r="S985" s="43"/>
      <c r="T985" s="43"/>
      <c r="U985" s="43"/>
      <c r="V985" s="43"/>
      <c r="W985" s="43"/>
      <c r="X985" s="43"/>
      <c r="Y985" s="43"/>
      <c r="Z985" s="43"/>
      <c r="AA985" s="43"/>
      <c r="AB985" s="43"/>
      <c r="AC985" s="43"/>
      <c r="AD985" s="43"/>
      <c r="AE985" s="48"/>
      <c r="AF985" s="48"/>
      <c r="AG985" s="48"/>
      <c r="AH985" s="50"/>
    </row>
    <row r="986" spans="8:34" ht="12.5">
      <c r="H986" s="43"/>
      <c r="I986" s="43"/>
      <c r="J986" s="43"/>
      <c r="K986" s="44"/>
      <c r="L986" s="45"/>
      <c r="M986" s="43"/>
      <c r="N986" s="46"/>
      <c r="O986" s="46"/>
      <c r="P986" s="45"/>
      <c r="Q986" s="45"/>
      <c r="R986" s="45"/>
      <c r="S986" s="43"/>
      <c r="T986" s="43"/>
      <c r="U986" s="43"/>
      <c r="V986" s="43"/>
      <c r="W986" s="43"/>
      <c r="X986" s="43"/>
      <c r="Y986" s="43"/>
      <c r="Z986" s="43"/>
      <c r="AA986" s="43"/>
      <c r="AB986" s="43"/>
      <c r="AC986" s="43"/>
      <c r="AD986" s="43"/>
      <c r="AE986" s="48"/>
      <c r="AF986" s="48"/>
      <c r="AG986" s="48"/>
      <c r="AH986" s="50"/>
    </row>
    <row r="987" spans="8:34" ht="12.5">
      <c r="H987" s="43"/>
      <c r="I987" s="43"/>
      <c r="J987" s="43"/>
      <c r="K987" s="44"/>
      <c r="L987" s="45"/>
      <c r="M987" s="43"/>
      <c r="N987" s="46"/>
      <c r="O987" s="46"/>
      <c r="P987" s="45"/>
      <c r="Q987" s="45"/>
      <c r="R987" s="45"/>
      <c r="S987" s="43"/>
      <c r="T987" s="43"/>
      <c r="U987" s="43"/>
      <c r="V987" s="43"/>
      <c r="W987" s="43"/>
      <c r="X987" s="43"/>
      <c r="Y987" s="43"/>
      <c r="Z987" s="43"/>
      <c r="AA987" s="43"/>
      <c r="AB987" s="43"/>
      <c r="AC987" s="43"/>
      <c r="AD987" s="43"/>
      <c r="AE987" s="48"/>
      <c r="AF987" s="48"/>
      <c r="AG987" s="48"/>
      <c r="AH987" s="50"/>
    </row>
    <row r="988" spans="8:34" ht="12.5">
      <c r="H988" s="43"/>
      <c r="I988" s="43"/>
      <c r="J988" s="43"/>
      <c r="K988" s="44"/>
      <c r="L988" s="45"/>
      <c r="M988" s="43"/>
      <c r="N988" s="46"/>
      <c r="O988" s="46"/>
      <c r="P988" s="45"/>
      <c r="Q988" s="45"/>
      <c r="R988" s="45"/>
      <c r="S988" s="43"/>
      <c r="T988" s="43"/>
      <c r="U988" s="43"/>
      <c r="V988" s="43"/>
      <c r="W988" s="43"/>
      <c r="X988" s="43"/>
      <c r="Y988" s="43"/>
      <c r="Z988" s="43"/>
      <c r="AA988" s="43"/>
      <c r="AB988" s="43"/>
      <c r="AC988" s="43"/>
      <c r="AD988" s="43"/>
      <c r="AE988" s="48"/>
      <c r="AF988" s="48"/>
      <c r="AG988" s="48"/>
      <c r="AH988" s="50"/>
    </row>
    <row r="989" spans="8:34" ht="12.5">
      <c r="H989" s="43"/>
      <c r="I989" s="43"/>
      <c r="J989" s="43"/>
      <c r="K989" s="44"/>
      <c r="L989" s="45"/>
      <c r="M989" s="43"/>
      <c r="N989" s="46"/>
      <c r="O989" s="46"/>
      <c r="P989" s="45"/>
      <c r="Q989" s="45"/>
      <c r="R989" s="45"/>
      <c r="S989" s="43"/>
      <c r="T989" s="43"/>
      <c r="U989" s="43"/>
      <c r="V989" s="43"/>
      <c r="W989" s="43"/>
      <c r="X989" s="43"/>
      <c r="Y989" s="43"/>
      <c r="Z989" s="43"/>
      <c r="AA989" s="43"/>
      <c r="AB989" s="43"/>
      <c r="AC989" s="43"/>
      <c r="AD989" s="43"/>
      <c r="AE989" s="48"/>
      <c r="AF989" s="48"/>
      <c r="AG989" s="48"/>
      <c r="AH989" s="50"/>
    </row>
    <row r="990" spans="8:34" ht="12.5">
      <c r="H990" s="43"/>
      <c r="I990" s="43"/>
      <c r="J990" s="43"/>
      <c r="K990" s="44"/>
      <c r="L990" s="45"/>
      <c r="M990" s="43"/>
      <c r="N990" s="46"/>
      <c r="O990" s="46"/>
      <c r="P990" s="45"/>
      <c r="Q990" s="45"/>
      <c r="R990" s="45"/>
      <c r="S990" s="43"/>
      <c r="T990" s="43"/>
      <c r="U990" s="43"/>
      <c r="V990" s="43"/>
      <c r="W990" s="43"/>
      <c r="X990" s="43"/>
      <c r="Y990" s="43"/>
      <c r="Z990" s="43"/>
      <c r="AA990" s="43"/>
      <c r="AB990" s="43"/>
      <c r="AC990" s="43"/>
      <c r="AD990" s="43"/>
      <c r="AE990" s="48"/>
      <c r="AF990" s="48"/>
      <c r="AG990" s="48"/>
      <c r="AH990" s="50"/>
    </row>
    <row r="991" spans="8:34" ht="12.5">
      <c r="H991" s="43"/>
      <c r="I991" s="43"/>
      <c r="J991" s="43"/>
      <c r="K991" s="44"/>
      <c r="L991" s="45"/>
      <c r="M991" s="43"/>
      <c r="N991" s="46"/>
      <c r="O991" s="46"/>
      <c r="P991" s="45"/>
      <c r="Q991" s="45"/>
      <c r="R991" s="45"/>
      <c r="S991" s="43"/>
      <c r="T991" s="43"/>
      <c r="U991" s="43"/>
      <c r="V991" s="43"/>
      <c r="W991" s="43"/>
      <c r="X991" s="43"/>
      <c r="Y991" s="43"/>
      <c r="Z991" s="43"/>
      <c r="AA991" s="43"/>
      <c r="AB991" s="43"/>
      <c r="AC991" s="43"/>
      <c r="AD991" s="43"/>
      <c r="AE991" s="48"/>
      <c r="AF991" s="48"/>
      <c r="AG991" s="48"/>
      <c r="AH991" s="50"/>
    </row>
    <row r="992" spans="8:34" ht="12.5">
      <c r="H992" s="43"/>
      <c r="I992" s="43"/>
      <c r="J992" s="43"/>
      <c r="K992" s="44"/>
      <c r="L992" s="45"/>
      <c r="M992" s="43"/>
      <c r="N992" s="46"/>
      <c r="O992" s="46"/>
      <c r="P992" s="45"/>
      <c r="Q992" s="45"/>
      <c r="R992" s="45"/>
      <c r="S992" s="43"/>
      <c r="T992" s="43"/>
      <c r="U992" s="43"/>
      <c r="V992" s="43"/>
      <c r="W992" s="43"/>
      <c r="X992" s="43"/>
      <c r="Y992" s="43"/>
      <c r="Z992" s="43"/>
      <c r="AA992" s="43"/>
      <c r="AB992" s="43"/>
      <c r="AC992" s="43"/>
      <c r="AD992" s="43"/>
      <c r="AE992" s="48"/>
      <c r="AF992" s="48"/>
      <c r="AG992" s="48"/>
      <c r="AH992" s="50"/>
    </row>
    <row r="993" spans="8:34" ht="12.5">
      <c r="H993" s="43"/>
      <c r="I993" s="43"/>
      <c r="J993" s="43"/>
      <c r="K993" s="44"/>
      <c r="L993" s="45"/>
      <c r="M993" s="43"/>
      <c r="N993" s="46"/>
      <c r="O993" s="46"/>
      <c r="P993" s="45"/>
      <c r="Q993" s="45"/>
      <c r="R993" s="45"/>
      <c r="S993" s="43"/>
      <c r="T993" s="43"/>
      <c r="U993" s="43"/>
      <c r="V993" s="43"/>
      <c r="W993" s="43"/>
      <c r="X993" s="43"/>
      <c r="Y993" s="43"/>
      <c r="Z993" s="43"/>
      <c r="AA993" s="43"/>
      <c r="AB993" s="43"/>
      <c r="AC993" s="43"/>
      <c r="AD993" s="43"/>
      <c r="AE993" s="48"/>
      <c r="AF993" s="48"/>
      <c r="AG993" s="48"/>
      <c r="AH993" s="50"/>
    </row>
    <row r="994" spans="8:34" ht="12.5">
      <c r="H994" s="43"/>
      <c r="I994" s="43"/>
      <c r="J994" s="43"/>
      <c r="K994" s="44"/>
      <c r="L994" s="45"/>
      <c r="M994" s="43"/>
      <c r="N994" s="46"/>
      <c r="O994" s="46"/>
      <c r="P994" s="45"/>
      <c r="Q994" s="45"/>
      <c r="R994" s="45"/>
      <c r="S994" s="43"/>
      <c r="T994" s="43"/>
      <c r="U994" s="43"/>
      <c r="V994" s="43"/>
      <c r="W994" s="43"/>
      <c r="X994" s="43"/>
      <c r="Y994" s="43"/>
      <c r="Z994" s="43"/>
      <c r="AA994" s="43"/>
      <c r="AB994" s="43"/>
      <c r="AC994" s="43"/>
      <c r="AD994" s="43"/>
      <c r="AE994" s="48"/>
      <c r="AF994" s="48"/>
      <c r="AG994" s="48"/>
      <c r="AH994" s="50"/>
    </row>
    <row r="995" spans="8:34" ht="12.5">
      <c r="H995" s="43"/>
      <c r="I995" s="43"/>
      <c r="J995" s="43"/>
      <c r="K995" s="44"/>
      <c r="L995" s="45"/>
      <c r="M995" s="43"/>
      <c r="N995" s="46"/>
      <c r="O995" s="46"/>
      <c r="P995" s="45"/>
      <c r="Q995" s="45"/>
      <c r="R995" s="45"/>
      <c r="S995" s="43"/>
      <c r="T995" s="43"/>
      <c r="U995" s="43"/>
      <c r="V995" s="43"/>
      <c r="W995" s="43"/>
      <c r="X995" s="43"/>
      <c r="Y995" s="43"/>
      <c r="Z995" s="43"/>
      <c r="AA995" s="43"/>
      <c r="AB995" s="43"/>
      <c r="AC995" s="43"/>
      <c r="AD995" s="43"/>
      <c r="AE995" s="48"/>
      <c r="AF995" s="48"/>
      <c r="AG995" s="48"/>
      <c r="AH995" s="50"/>
    </row>
    <row r="996" spans="8:34" ht="12.5">
      <c r="H996" s="43"/>
      <c r="I996" s="43"/>
      <c r="J996" s="43"/>
      <c r="K996" s="44"/>
      <c r="L996" s="45"/>
      <c r="M996" s="43"/>
      <c r="N996" s="46"/>
      <c r="O996" s="46"/>
      <c r="P996" s="45"/>
      <c r="Q996" s="45"/>
      <c r="R996" s="45"/>
      <c r="S996" s="43"/>
      <c r="T996" s="43"/>
      <c r="U996" s="43"/>
      <c r="V996" s="43"/>
      <c r="W996" s="43"/>
      <c r="X996" s="43"/>
      <c r="Y996" s="43"/>
      <c r="Z996" s="43"/>
      <c r="AA996" s="43"/>
      <c r="AB996" s="43"/>
      <c r="AC996" s="43"/>
      <c r="AD996" s="43"/>
      <c r="AE996" s="48"/>
      <c r="AF996" s="48"/>
      <c r="AG996" s="48"/>
      <c r="AH996" s="50"/>
    </row>
    <row r="997" spans="8:34" ht="12.5">
      <c r="H997" s="43"/>
      <c r="I997" s="43"/>
      <c r="J997" s="43"/>
      <c r="K997" s="44"/>
      <c r="L997" s="45"/>
      <c r="M997" s="43"/>
      <c r="N997" s="46"/>
      <c r="O997" s="46"/>
      <c r="P997" s="45"/>
      <c r="Q997" s="45"/>
      <c r="R997" s="45"/>
      <c r="S997" s="43"/>
      <c r="T997" s="43"/>
      <c r="U997" s="43"/>
      <c r="V997" s="43"/>
      <c r="W997" s="43"/>
      <c r="X997" s="43"/>
      <c r="Y997" s="43"/>
      <c r="Z997" s="43"/>
      <c r="AA997" s="43"/>
      <c r="AB997" s="43"/>
      <c r="AC997" s="43"/>
      <c r="AD997" s="43"/>
      <c r="AE997" s="48"/>
      <c r="AF997" s="48"/>
      <c r="AG997" s="48"/>
      <c r="AH997" s="50"/>
    </row>
    <row r="998" spans="8:34" ht="12.5">
      <c r="H998" s="43"/>
      <c r="I998" s="43"/>
      <c r="J998" s="43"/>
      <c r="K998" s="44"/>
      <c r="L998" s="45"/>
      <c r="M998" s="43"/>
      <c r="N998" s="46"/>
      <c r="O998" s="46"/>
      <c r="P998" s="45"/>
      <c r="Q998" s="45"/>
      <c r="R998" s="45"/>
      <c r="S998" s="43"/>
      <c r="T998" s="43"/>
      <c r="U998" s="43"/>
      <c r="V998" s="43"/>
      <c r="W998" s="43"/>
      <c r="X998" s="43"/>
      <c r="Y998" s="43"/>
      <c r="Z998" s="43"/>
      <c r="AA998" s="43"/>
      <c r="AB998" s="43"/>
      <c r="AC998" s="43"/>
      <c r="AD998" s="43"/>
      <c r="AE998" s="48"/>
      <c r="AF998" s="48"/>
      <c r="AG998" s="48"/>
      <c r="AH998" s="50"/>
    </row>
    <row r="999" spans="8:34" ht="12.5">
      <c r="H999" s="43"/>
      <c r="I999" s="43"/>
      <c r="J999" s="43"/>
      <c r="K999" s="44"/>
      <c r="L999" s="45"/>
      <c r="M999" s="43"/>
      <c r="N999" s="46"/>
      <c r="O999" s="46"/>
      <c r="P999" s="45"/>
      <c r="Q999" s="45"/>
      <c r="R999" s="45"/>
      <c r="S999" s="43"/>
      <c r="T999" s="43"/>
      <c r="U999" s="43"/>
      <c r="V999" s="43"/>
      <c r="W999" s="43"/>
      <c r="X999" s="43"/>
      <c r="Y999" s="43"/>
      <c r="Z999" s="43"/>
      <c r="AA999" s="43"/>
      <c r="AB999" s="43"/>
      <c r="AC999" s="43"/>
      <c r="AD999" s="43"/>
      <c r="AE999" s="48"/>
      <c r="AF999" s="48"/>
      <c r="AG999" s="48"/>
      <c r="AH999" s="50"/>
    </row>
    <row r="1000" spans="8:34" ht="12.5">
      <c r="H1000" s="43"/>
      <c r="I1000" s="43"/>
      <c r="J1000" s="43"/>
      <c r="K1000" s="44"/>
      <c r="L1000" s="45"/>
      <c r="M1000" s="43"/>
      <c r="N1000" s="46"/>
      <c r="O1000" s="46"/>
      <c r="P1000" s="45"/>
      <c r="Q1000" s="45"/>
      <c r="R1000" s="45"/>
      <c r="S1000" s="43"/>
      <c r="T1000" s="43"/>
      <c r="U1000" s="43"/>
      <c r="V1000" s="43"/>
      <c r="W1000" s="43"/>
      <c r="X1000" s="43"/>
      <c r="Y1000" s="43"/>
      <c r="Z1000" s="43"/>
      <c r="AA1000" s="43"/>
      <c r="AB1000" s="43"/>
      <c r="AC1000" s="43"/>
      <c r="AD1000" s="43"/>
      <c r="AE1000" s="48"/>
      <c r="AF1000" s="48"/>
      <c r="AG1000" s="48"/>
      <c r="AH1000" s="50"/>
    </row>
    <row r="1001" spans="8:34" ht="12.5">
      <c r="H1001" s="43"/>
      <c r="I1001" s="43"/>
      <c r="J1001" s="43"/>
      <c r="K1001" s="44"/>
      <c r="L1001" s="45"/>
      <c r="M1001" s="43"/>
      <c r="N1001" s="46"/>
      <c r="O1001" s="46"/>
      <c r="P1001" s="45"/>
      <c r="Q1001" s="45"/>
      <c r="R1001" s="45"/>
      <c r="S1001" s="43"/>
      <c r="T1001" s="43"/>
      <c r="U1001" s="43"/>
      <c r="V1001" s="43"/>
      <c r="W1001" s="43"/>
      <c r="X1001" s="43"/>
      <c r="Y1001" s="43"/>
      <c r="Z1001" s="43"/>
      <c r="AA1001" s="43"/>
      <c r="AB1001" s="43"/>
      <c r="AC1001" s="43"/>
      <c r="AD1001" s="43"/>
      <c r="AE1001" s="48"/>
      <c r="AF1001" s="48"/>
      <c r="AG1001" s="48"/>
      <c r="AH1001" s="50"/>
    </row>
  </sheetData>
  <hyperlinks>
    <hyperlink ref="AJ8" r:id="rId1"/>
    <hyperlink ref="AK8" r:id="rId2"/>
    <hyperlink ref="AJ9" r:id="rId3"/>
    <hyperlink ref="AK9" r:id="rId4"/>
    <hyperlink ref="AJ10" r:id="rId5"/>
    <hyperlink ref="AJ11" r:id="rId6"/>
    <hyperlink ref="AK11" r:id="rId7"/>
    <hyperlink ref="AJ12" r:id="rId8"/>
    <hyperlink ref="AK12" r:id="rId9"/>
    <hyperlink ref="AJ13" r:id="rId10"/>
    <hyperlink ref="AK13" r:id="rId11"/>
    <hyperlink ref="AJ14" r:id="rId12"/>
    <hyperlink ref="AK14" r:id="rId13"/>
    <hyperlink ref="AJ15" r:id="rId14"/>
    <hyperlink ref="AK15" r:id="rId15"/>
    <hyperlink ref="AJ16" r:id="rId16"/>
    <hyperlink ref="AK16" r:id="rId17"/>
    <hyperlink ref="AJ22" r:id="rId18"/>
    <hyperlink ref="AK22" r:id="rId19"/>
    <hyperlink ref="AJ23" r:id="rId20"/>
    <hyperlink ref="AK23" r:id="rId21"/>
    <hyperlink ref="AJ24" r:id="rId22"/>
    <hyperlink ref="AK24" r:id="rId23"/>
    <hyperlink ref="AJ25" r:id="rId24"/>
    <hyperlink ref="AK25" r:id="rId25"/>
    <hyperlink ref="AJ26" r:id="rId26"/>
    <hyperlink ref="AK26" r:id="rId27"/>
    <hyperlink ref="AJ27" r:id="rId28"/>
    <hyperlink ref="AK27" r:id="rId29"/>
    <hyperlink ref="AJ28" r:id="rId30"/>
    <hyperlink ref="AK28" r:id="rId31"/>
    <hyperlink ref="AJ29" r:id="rId32"/>
    <hyperlink ref="AK29" r:id="rId33"/>
    <hyperlink ref="AJ30" r:id="rId34"/>
    <hyperlink ref="AK30" r:id="rId35"/>
    <hyperlink ref="AK50" r:id="rId36" location="136"/>
    <hyperlink ref="AK51" r:id="rId37" location="D79003134"/>
    <hyperlink ref="AK52" r:id="rId38" location="tx263670_35"/>
    <hyperlink ref="AK53" r:id="rId39" location="tx462654_34"/>
    <hyperlink ref="AJ54" r:id="rId40"/>
    <hyperlink ref="AK54" r:id="rId41" location="toc653301_34"/>
    <hyperlink ref="AK55" r:id="rId42"/>
    <hyperlink ref="AK56" r:id="rId43" location="ITEM7AQUANTITATIVEANDQUALITATIVEDISCLOSU"/>
    <hyperlink ref="AK57" r:id="rId44" location="ITEM7AQUANTITATIVEANDQUALITATIVEDISCLOSU"/>
    <hyperlink ref="AK58" r:id="rId45"/>
    <hyperlink ref="AK64" r:id="rId46"/>
    <hyperlink ref="AJ65" r:id="rId47"/>
    <hyperlink ref="AK65" r:id="rId48"/>
    <hyperlink ref="AJ66" r:id="rId49"/>
    <hyperlink ref="AK66" r:id="rId50"/>
    <hyperlink ref="AJ67" r:id="rId51"/>
    <hyperlink ref="AK67" r:id="rId52"/>
    <hyperlink ref="AJ68" r:id="rId53"/>
    <hyperlink ref="AK68" r:id="rId54"/>
    <hyperlink ref="AK69" r:id="rId55"/>
    <hyperlink ref="X70" r:id="rId56"/>
    <hyperlink ref="AK70" r:id="rId57"/>
    <hyperlink ref="X71" r:id="rId58"/>
    <hyperlink ref="AK71" r:id="rId59"/>
    <hyperlink ref="X72" r:id="rId60"/>
    <hyperlink ref="AK72" r:id="rId61"/>
    <hyperlink ref="AK120" r:id="rId62"/>
    <hyperlink ref="AJ121" r:id="rId63"/>
    <hyperlink ref="AK121" r:id="rId64"/>
    <hyperlink ref="AK122" r:id="rId65"/>
    <hyperlink ref="AJ123" r:id="rId66"/>
    <hyperlink ref="AJ124" r:id="rId67"/>
    <hyperlink ref="AK124" r:id="rId68"/>
    <hyperlink ref="AJ125" r:id="rId69"/>
    <hyperlink ref="AK125" r:id="rId70"/>
    <hyperlink ref="AJ126" r:id="rId71"/>
    <hyperlink ref="AK126" r:id="rId72"/>
    <hyperlink ref="X127" r:id="rId73"/>
    <hyperlink ref="AJ127" r:id="rId74"/>
    <hyperlink ref="AK127" r:id="rId75"/>
    <hyperlink ref="AJ128" r:id="rId76"/>
    <hyperlink ref="AK128" r:id="rId77"/>
    <hyperlink ref="X145" r:id="rId78"/>
    <hyperlink ref="AK145" r:id="rId79"/>
    <hyperlink ref="X146" r:id="rId80" location="tx113641_41"/>
    <hyperlink ref="AJ146" r:id="rId81"/>
    <hyperlink ref="AK146" r:id="rId82"/>
    <hyperlink ref="X147" r:id="rId83"/>
    <hyperlink ref="AJ147" r:id="rId84"/>
    <hyperlink ref="AK147" r:id="rId85"/>
    <hyperlink ref="X148" r:id="rId86"/>
    <hyperlink ref="AJ148" r:id="rId87"/>
    <hyperlink ref="AK148" r:id="rId88"/>
    <hyperlink ref="X149" r:id="rId89"/>
    <hyperlink ref="AJ149" r:id="rId90"/>
    <hyperlink ref="AK149" r:id="rId91" location="rom646278_12"/>
    <hyperlink ref="X150" r:id="rId92"/>
    <hyperlink ref="AJ150" r:id="rId93"/>
    <hyperlink ref="AK150" r:id="rId94" location="rom836948_14"/>
    <hyperlink ref="X151" r:id="rId95"/>
    <hyperlink ref="AJ151" r:id="rId96"/>
    <hyperlink ref="AK151" r:id="rId97" location="rom10119_14"/>
    <hyperlink ref="X152" r:id="rId98"/>
    <hyperlink ref="AJ152" r:id="rId99"/>
    <hyperlink ref="AK152" r:id="rId100"/>
    <hyperlink ref="X153" r:id="rId101"/>
    <hyperlink ref="AJ153" r:id="rId102"/>
    <hyperlink ref="AK153" r:id="rId103"/>
    <hyperlink ref="AJ159" r:id="rId104"/>
    <hyperlink ref="AK159" r:id="rId105"/>
    <hyperlink ref="AJ160" r:id="rId106"/>
    <hyperlink ref="AK160" r:id="rId107" location="W82698112"/>
    <hyperlink ref="AJ161" r:id="rId108"/>
    <hyperlink ref="AK161" r:id="rId109"/>
    <hyperlink ref="AJ162" r:id="rId110"/>
    <hyperlink ref="AK162" r:id="rId111"/>
    <hyperlink ref="AJ163" r:id="rId112"/>
    <hyperlink ref="AK163" r:id="rId113"/>
    <hyperlink ref="AJ164" r:id="rId114"/>
    <hyperlink ref="AK164" r:id="rId115"/>
    <hyperlink ref="AJ165" r:id="rId116"/>
    <hyperlink ref="AK165" r:id="rId117"/>
    <hyperlink ref="AJ166" r:id="rId118"/>
    <hyperlink ref="AK166" r:id="rId119"/>
    <hyperlink ref="AJ167" r:id="rId120"/>
    <hyperlink ref="AK167" r:id="rId121"/>
    <hyperlink ref="AK218" r:id="rId122"/>
    <hyperlink ref="AK219" r:id="rId123"/>
    <hyperlink ref="AK220" r:id="rId124"/>
    <hyperlink ref="AK221" r:id="rId125"/>
    <hyperlink ref="AJ222" r:id="rId126"/>
    <hyperlink ref="AK222" r:id="rId127"/>
    <hyperlink ref="AJ223" r:id="rId128"/>
    <hyperlink ref="AK223" r:id="rId129"/>
    <hyperlink ref="AK224" r:id="rId130"/>
    <hyperlink ref="AJ225" r:id="rId131"/>
    <hyperlink ref="AK225" r:id="rId132"/>
    <hyperlink ref="AJ226" r:id="rId133"/>
    <hyperlink ref="AK226" r:id="rId134"/>
    <hyperlink ref="AJ261" r:id="rId135"/>
    <hyperlink ref="AK261" r:id="rId136"/>
    <hyperlink ref="AJ262" r:id="rId137"/>
    <hyperlink ref="AK262" r:id="rId138"/>
    <hyperlink ref="AJ263" r:id="rId139"/>
    <hyperlink ref="AK263" r:id="rId140"/>
    <hyperlink ref="AJ264" r:id="rId141"/>
    <hyperlink ref="AJ265" r:id="rId142"/>
    <hyperlink ref="AK265" r:id="rId143"/>
    <hyperlink ref="AJ266" r:id="rId144"/>
    <hyperlink ref="AK266" r:id="rId145"/>
    <hyperlink ref="AJ267" r:id="rId146"/>
    <hyperlink ref="AK267" r:id="rId147"/>
    <hyperlink ref="AJ268" r:id="rId148"/>
    <hyperlink ref="AK268" r:id="rId149"/>
    <hyperlink ref="AJ269" r:id="rId150"/>
    <hyperlink ref="AK269" r:id="rId151"/>
    <hyperlink ref="AK275" r:id="rId152"/>
    <hyperlink ref="AK276" r:id="rId153"/>
    <hyperlink ref="AK278" r:id="rId154"/>
    <hyperlink ref="X279" r:id="rId155"/>
    <hyperlink ref="AK279" r:id="rId156"/>
    <hyperlink ref="AK280" r:id="rId157"/>
    <hyperlink ref="AK281" r:id="rId158"/>
    <hyperlink ref="AK282" r:id="rId159"/>
    <hyperlink ref="AK283" r:id="rId160"/>
    <hyperlink ref="AK303" r:id="rId161"/>
    <hyperlink ref="AJ332" r:id="rId162"/>
    <hyperlink ref="AK332" r:id="rId163"/>
    <hyperlink ref="AJ333" r:id="rId164"/>
    <hyperlink ref="AK333" r:id="rId165"/>
    <hyperlink ref="AJ334" r:id="rId166"/>
    <hyperlink ref="AK334" r:id="rId167"/>
    <hyperlink ref="AK335" r:id="rId168"/>
    <hyperlink ref="AK336" r:id="rId169"/>
    <hyperlink ref="AJ337" r:id="rId170"/>
    <hyperlink ref="AK337" r:id="rId171"/>
    <hyperlink ref="AJ338" r:id="rId172"/>
    <hyperlink ref="AK338" r:id="rId173"/>
    <hyperlink ref="AK339" r:id="rId174"/>
    <hyperlink ref="AJ340" r:id="rId175"/>
    <hyperlink ref="AK340" r:id="rId17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L31"/>
  <sheetViews>
    <sheetView workbookViewId="0"/>
  </sheetViews>
  <sheetFormatPr defaultColWidth="14.453125" defaultRowHeight="15.75" customHeight="1"/>
  <sheetData>
    <row r="2" spans="2:12" ht="15.75" customHeight="1">
      <c r="B2" s="4" t="s">
        <v>0</v>
      </c>
    </row>
    <row r="3" spans="2:12" ht="15.75" customHeight="1">
      <c r="B3" s="6" t="s">
        <v>13</v>
      </c>
      <c r="C3" s="8" t="s">
        <v>28</v>
      </c>
      <c r="D3" s="8" t="s">
        <v>30</v>
      </c>
      <c r="E3" s="8" t="s">
        <v>31</v>
      </c>
      <c r="F3" s="8" t="s">
        <v>32</v>
      </c>
      <c r="G3" s="8" t="s">
        <v>33</v>
      </c>
      <c r="H3" s="8" t="s">
        <v>34</v>
      </c>
      <c r="I3" s="8" t="s">
        <v>35</v>
      </c>
      <c r="J3" s="8" t="s">
        <v>36</v>
      </c>
      <c r="K3" s="8" t="s">
        <v>37</v>
      </c>
      <c r="L3" s="8" t="s">
        <v>38</v>
      </c>
    </row>
    <row r="4" spans="2:12" ht="15.75" customHeight="1">
      <c r="B4" s="10" t="s">
        <v>39</v>
      </c>
      <c r="C4" s="12"/>
      <c r="D4" s="12"/>
      <c r="E4" s="12"/>
      <c r="F4" s="12"/>
      <c r="G4" s="14" t="s">
        <v>42</v>
      </c>
      <c r="H4" s="14">
        <v>1.109</v>
      </c>
      <c r="I4" s="14">
        <v>1.2350000000000001</v>
      </c>
      <c r="J4" s="14">
        <v>1.198</v>
      </c>
      <c r="K4" s="14">
        <v>1.044</v>
      </c>
      <c r="L4" s="14">
        <v>1.121</v>
      </c>
    </row>
    <row r="5" spans="2:12" ht="15.75" customHeight="1">
      <c r="B5" s="10" t="s">
        <v>43</v>
      </c>
      <c r="C5" s="14">
        <v>1.4910000000000001</v>
      </c>
      <c r="D5" s="14">
        <v>1.401</v>
      </c>
      <c r="E5" s="14">
        <v>1.319</v>
      </c>
      <c r="F5" s="14">
        <v>1.5089999999999999</v>
      </c>
      <c r="G5" s="14">
        <v>1.81</v>
      </c>
      <c r="H5" s="14">
        <v>2.4020000000000001</v>
      </c>
      <c r="I5" s="14">
        <v>2.7050000000000001</v>
      </c>
      <c r="J5" s="14">
        <v>2.8849999999999998</v>
      </c>
      <c r="K5" s="14">
        <v>3.8029999999999999</v>
      </c>
      <c r="L5" s="14">
        <v>2.4670000000000001</v>
      </c>
    </row>
    <row r="6" spans="2:12" ht="15.75" customHeight="1">
      <c r="B6" s="10" t="s">
        <v>45</v>
      </c>
      <c r="C6" s="14">
        <v>2.992</v>
      </c>
      <c r="D6" s="14">
        <v>3.84</v>
      </c>
      <c r="E6" s="14">
        <v>3.968</v>
      </c>
      <c r="F6" s="14">
        <v>3.9220000000000002</v>
      </c>
      <c r="G6" s="14">
        <v>3.8250000000000002</v>
      </c>
      <c r="H6" s="14">
        <v>2.7069999999999999</v>
      </c>
      <c r="I6" s="14">
        <v>2.3039999999999998</v>
      </c>
      <c r="J6" s="14">
        <v>2.65</v>
      </c>
      <c r="K6" s="14">
        <v>3.1779999999999999</v>
      </c>
    </row>
    <row r="8" spans="2:12" ht="15.75" customHeight="1">
      <c r="B8" s="20" t="s">
        <v>46</v>
      </c>
    </row>
    <row r="12" spans="2:12" ht="15.75" customHeight="1">
      <c r="B12" s="20" t="s">
        <v>67</v>
      </c>
    </row>
    <row r="13" spans="2:12" ht="15.75" customHeight="1">
      <c r="C13" s="4" t="s">
        <v>70</v>
      </c>
    </row>
    <row r="14" spans="2:12" ht="15.75" customHeight="1">
      <c r="B14" s="26">
        <v>2000</v>
      </c>
      <c r="C14" s="29">
        <v>1.51</v>
      </c>
      <c r="D14" s="29"/>
    </row>
    <row r="15" spans="2:12" ht="15.75" customHeight="1">
      <c r="B15" s="31">
        <v>2001</v>
      </c>
      <c r="C15" s="33">
        <v>1.46</v>
      </c>
      <c r="D15" s="33"/>
    </row>
    <row r="16" spans="2:12" ht="15.75" customHeight="1">
      <c r="B16" s="26">
        <v>2002</v>
      </c>
      <c r="C16" s="29">
        <v>1.36</v>
      </c>
      <c r="D16" s="29"/>
    </row>
    <row r="17" spans="2:4" ht="15.75" customHeight="1">
      <c r="B17" s="36">
        <v>2003</v>
      </c>
      <c r="C17" s="38">
        <v>1.59</v>
      </c>
      <c r="D17" s="38"/>
    </row>
    <row r="18" spans="2:4" ht="15.75" customHeight="1">
      <c r="B18" s="26">
        <v>2004</v>
      </c>
      <c r="C18" s="29">
        <v>1.88</v>
      </c>
      <c r="D18" s="29"/>
    </row>
    <row r="19" spans="2:4" ht="15.75" customHeight="1">
      <c r="B19" s="31">
        <v>2005</v>
      </c>
      <c r="C19" s="33">
        <v>2.2999999999999998</v>
      </c>
      <c r="D19" s="33"/>
    </row>
    <row r="20" spans="2:4" ht="15.75" customHeight="1">
      <c r="B20" s="26">
        <v>2006</v>
      </c>
      <c r="C20" s="29">
        <v>2.59</v>
      </c>
      <c r="D20" s="29"/>
    </row>
    <row r="21" spans="2:4" ht="15.75" customHeight="1">
      <c r="B21" s="31">
        <v>2007</v>
      </c>
      <c r="C21" s="33">
        <v>2.8</v>
      </c>
      <c r="D21" s="33"/>
    </row>
    <row r="22" spans="2:4" ht="12.5">
      <c r="B22" s="26">
        <v>2008</v>
      </c>
      <c r="C22" s="29">
        <v>3.27</v>
      </c>
      <c r="D22" s="29"/>
    </row>
    <row r="23" spans="2:4" ht="12.5">
      <c r="B23" s="31">
        <v>2009</v>
      </c>
      <c r="C23" s="33">
        <v>2.35</v>
      </c>
      <c r="D23" s="33"/>
    </row>
    <row r="24" spans="2:4" ht="12.5">
      <c r="B24" s="26">
        <v>2010</v>
      </c>
      <c r="C24" s="29">
        <v>2.79</v>
      </c>
      <c r="D24" s="29"/>
    </row>
    <row r="25" spans="2:4" ht="12.5">
      <c r="B25" s="31">
        <v>2011</v>
      </c>
      <c r="C25" s="33">
        <v>3.53</v>
      </c>
      <c r="D25" s="33"/>
    </row>
    <row r="26" spans="2:4" ht="12.5">
      <c r="B26" s="26">
        <v>2012</v>
      </c>
      <c r="C26" s="29">
        <v>3.64</v>
      </c>
      <c r="D26" s="29"/>
    </row>
    <row r="27" spans="2:4" ht="12.5">
      <c r="B27" s="31">
        <v>2013</v>
      </c>
      <c r="C27" s="33">
        <v>3.53</v>
      </c>
      <c r="D27" s="33"/>
    </row>
    <row r="28" spans="2:4" ht="12.5">
      <c r="B28" s="26">
        <v>2014</v>
      </c>
      <c r="C28" s="29">
        <v>3.37</v>
      </c>
      <c r="D28" s="29"/>
    </row>
    <row r="29" spans="2:4" ht="12.5">
      <c r="B29" s="31">
        <v>2015</v>
      </c>
      <c r="C29" s="33">
        <v>2.4500000000000002</v>
      </c>
      <c r="D29" s="33"/>
    </row>
    <row r="30" spans="2:4" ht="12.5">
      <c r="B30" s="26">
        <v>2016</v>
      </c>
      <c r="C30" s="29">
        <v>2.25</v>
      </c>
      <c r="D30" s="29"/>
    </row>
    <row r="31" spans="2:4" ht="12.5">
      <c r="B31" s="31">
        <v>2017</v>
      </c>
      <c r="C31" s="33">
        <v>2.528</v>
      </c>
      <c r="D31" s="33"/>
    </row>
  </sheetData>
  <hyperlinks>
    <hyperlink ref="B8" r:id="rId1"/>
    <hyperlink ref="B12"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G18"/>
  <sheetViews>
    <sheetView workbookViewId="0"/>
  </sheetViews>
  <sheetFormatPr defaultColWidth="14.453125" defaultRowHeight="15.75" customHeight="1"/>
  <sheetData>
    <row r="2" spans="1:7" ht="15.75" customHeight="1">
      <c r="A2" s="71" t="s">
        <v>107</v>
      </c>
      <c r="D2" s="73">
        <v>1.5</v>
      </c>
    </row>
    <row r="3" spans="1:7" ht="15.75" customHeight="1">
      <c r="A3" s="71" t="s">
        <v>108</v>
      </c>
      <c r="D3" s="73">
        <v>1421.1</v>
      </c>
    </row>
    <row r="4" spans="1:7" ht="15.75" customHeight="1">
      <c r="A4" s="71" t="s">
        <v>109</v>
      </c>
      <c r="D4" s="4">
        <v>1.9E-3</v>
      </c>
      <c r="E4" s="20" t="s">
        <v>110</v>
      </c>
    </row>
    <row r="5" spans="1:7" ht="15.75" customHeight="1">
      <c r="A5" s="71" t="s">
        <v>112</v>
      </c>
      <c r="D5" s="73">
        <v>0.17482088949999999</v>
      </c>
      <c r="E5" s="20" t="s">
        <v>113</v>
      </c>
    </row>
    <row r="6" spans="1:7" ht="15.75" customHeight="1">
      <c r="A6" s="71" t="s">
        <v>114</v>
      </c>
      <c r="D6" s="4">
        <v>4</v>
      </c>
    </row>
    <row r="7" spans="1:7" ht="15.75" customHeight="1">
      <c r="A7" s="71" t="s">
        <v>115</v>
      </c>
      <c r="D7" s="4">
        <v>1250</v>
      </c>
    </row>
    <row r="8" spans="1:7" ht="15.75" customHeight="1">
      <c r="A8" s="4" t="s">
        <v>117</v>
      </c>
      <c r="D8" s="4" t="e">
        <f ca="1">F16</f>
        <v>#NAME?</v>
      </c>
      <c r="G8" s="4">
        <v>1325.2260679763019</v>
      </c>
    </row>
    <row r="9" spans="1:7" ht="15.75" customHeight="1">
      <c r="A9" s="4" t="s">
        <v>118</v>
      </c>
      <c r="D9" s="79" t="e">
        <f ca="1">F18</f>
        <v>#NAME?</v>
      </c>
      <c r="G9" s="4">
        <v>1364.2033052697225</v>
      </c>
    </row>
    <row r="12" spans="1:7" ht="15.75" customHeight="1">
      <c r="A12" t="s">
        <v>119</v>
      </c>
    </row>
    <row r="13" spans="1:7" ht="15.75" customHeight="1">
      <c r="A13" t="s">
        <v>120</v>
      </c>
    </row>
    <row r="14" spans="1:7" ht="15.75" customHeight="1">
      <c r="B14" t="s">
        <v>121</v>
      </c>
    </row>
    <row r="15" spans="1:7" ht="15.75" customHeight="1">
      <c r="B15" t="s">
        <v>122</v>
      </c>
      <c r="C15" t="s">
        <v>123</v>
      </c>
      <c r="D15" t="s">
        <v>124</v>
      </c>
      <c r="F15" t="s">
        <v>125</v>
      </c>
    </row>
    <row r="16" spans="1:7" ht="15.75" customHeight="1">
      <c r="B16">
        <f>LN(D3/D6)</f>
        <v>5.8728921374779253</v>
      </c>
      <c r="C16">
        <f>(((D5^2)+D4)/2)*D2</f>
        <v>2.4346757554178405E-2</v>
      </c>
      <c r="D16">
        <f>D5*SQRT(D2)</f>
        <v>0.21411098782724067</v>
      </c>
      <c r="E16">
        <f>(B16+C16)/D16</f>
        <v>27.542906391102157</v>
      </c>
      <c r="F16" t="e">
        <f ca="1">EXP(D4*D2)*_xludf.NORM.S.DIST(E16)</f>
        <v>#NAME?</v>
      </c>
    </row>
    <row r="17" spans="2:6" ht="15.75" customHeight="1">
      <c r="B17" t="s">
        <v>126</v>
      </c>
    </row>
    <row r="18" spans="2:6" ht="15.75" customHeight="1">
      <c r="B18">
        <f>LN(D3/D7)</f>
        <v>0.1282876683014689</v>
      </c>
      <c r="C18">
        <f t="shared" ref="C18:D18" si="0">C16</f>
        <v>2.4346757554178405E-2</v>
      </c>
      <c r="D18">
        <f t="shared" si="0"/>
        <v>0.21411098782724067</v>
      </c>
      <c r="E18">
        <f>(B18+C18)/D18</f>
        <v>0.71287525878309033</v>
      </c>
      <c r="F18" t="e">
        <f ca="1">-EXP(D4*D2)*_xludf.NORM.S.DIST(-E18)</f>
        <v>#NAME?</v>
      </c>
    </row>
  </sheetData>
  <hyperlinks>
    <hyperlink ref="E4" r:id="rId1"/>
    <hyperlink ref="E5"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H37"/>
  <sheetViews>
    <sheetView workbookViewId="0"/>
  </sheetViews>
  <sheetFormatPr defaultColWidth="14.453125" defaultRowHeight="15.75" customHeight="1"/>
  <sheetData>
    <row r="2" spans="2:8" ht="15.75" customHeight="1">
      <c r="B2" s="20" t="s">
        <v>130</v>
      </c>
    </row>
    <row r="4" spans="2:8" ht="15.5">
      <c r="B4" s="92" t="s">
        <v>133</v>
      </c>
      <c r="C4" s="92" t="s">
        <v>135</v>
      </c>
      <c r="D4" s="92" t="s">
        <v>136</v>
      </c>
      <c r="E4" s="92" t="s">
        <v>137</v>
      </c>
      <c r="F4" s="92" t="s">
        <v>138</v>
      </c>
      <c r="G4" s="92" t="s">
        <v>139</v>
      </c>
      <c r="H4" s="92" t="s">
        <v>140</v>
      </c>
    </row>
    <row r="5" spans="2:8" ht="15.75" customHeight="1">
      <c r="B5" s="94">
        <v>2019</v>
      </c>
      <c r="C5" s="95">
        <v>1.91</v>
      </c>
      <c r="D5" s="95">
        <v>1.69</v>
      </c>
      <c r="E5" s="95">
        <v>2.0299999999999998</v>
      </c>
      <c r="F5" s="95">
        <v>1.69</v>
      </c>
      <c r="G5" s="95">
        <v>2.0299999999999998</v>
      </c>
      <c r="H5" s="97">
        <v>0.2349</v>
      </c>
    </row>
    <row r="6" spans="2:8" ht="15.75" customHeight="1">
      <c r="B6" s="94">
        <v>2018</v>
      </c>
      <c r="C6" s="95">
        <v>2.06</v>
      </c>
      <c r="D6" s="95">
        <v>1.98</v>
      </c>
      <c r="E6" s="95">
        <v>2.41</v>
      </c>
      <c r="F6" s="95">
        <v>1.64</v>
      </c>
      <c r="G6" s="95">
        <v>1.64</v>
      </c>
      <c r="H6" s="99">
        <v>-0.17560000000000001</v>
      </c>
    </row>
    <row r="7" spans="2:8" ht="15.75" customHeight="1">
      <c r="B7" s="94">
        <v>2017</v>
      </c>
      <c r="C7" s="95">
        <v>1.58</v>
      </c>
      <c r="D7" s="95">
        <v>1.59</v>
      </c>
      <c r="E7" s="95">
        <v>1.99</v>
      </c>
      <c r="F7" s="95">
        <v>1.27</v>
      </c>
      <c r="G7" s="95">
        <v>1.99</v>
      </c>
      <c r="H7" s="97">
        <v>0.2364</v>
      </c>
    </row>
    <row r="8" spans="2:8" ht="15.75" customHeight="1">
      <c r="B8" s="94">
        <v>2016</v>
      </c>
      <c r="C8" s="95">
        <v>1.29</v>
      </c>
      <c r="D8" s="95">
        <v>1.04</v>
      </c>
      <c r="E8" s="95">
        <v>1.62</v>
      </c>
      <c r="F8" s="95">
        <v>0.82</v>
      </c>
      <c r="G8" s="95">
        <v>1.61</v>
      </c>
      <c r="H8" s="97">
        <v>0.62990000000000002</v>
      </c>
    </row>
    <row r="9" spans="2:8" ht="15.75" customHeight="1">
      <c r="B9" s="94">
        <v>2015</v>
      </c>
      <c r="C9" s="95">
        <v>1.54</v>
      </c>
      <c r="D9" s="95">
        <v>1.71</v>
      </c>
      <c r="E9" s="95">
        <v>2.13</v>
      </c>
      <c r="F9" s="95">
        <v>0.95</v>
      </c>
      <c r="G9" s="95">
        <v>0.99</v>
      </c>
      <c r="H9" s="99">
        <v>-0.42630000000000001</v>
      </c>
    </row>
    <row r="10" spans="2:8" ht="15.75" customHeight="1">
      <c r="B10" s="94">
        <v>2014</v>
      </c>
      <c r="C10" s="95">
        <v>2.69</v>
      </c>
      <c r="D10" s="95">
        <v>3</v>
      </c>
      <c r="E10" s="95">
        <v>3.26</v>
      </c>
      <c r="F10" s="95">
        <v>1.68</v>
      </c>
      <c r="G10" s="95">
        <v>1.72</v>
      </c>
      <c r="H10" s="99">
        <v>-0.44030000000000002</v>
      </c>
    </row>
    <row r="11" spans="2:8" ht="15.75" customHeight="1">
      <c r="B11" s="94">
        <v>2013</v>
      </c>
      <c r="C11" s="95">
        <v>2.92</v>
      </c>
      <c r="D11" s="95">
        <v>3.05</v>
      </c>
      <c r="E11" s="95">
        <v>3.27</v>
      </c>
      <c r="F11" s="95">
        <v>2.57</v>
      </c>
      <c r="G11" s="95">
        <v>3.08</v>
      </c>
      <c r="H11" s="97">
        <v>1.32E-2</v>
      </c>
    </row>
    <row r="12" spans="2:8" ht="15.75" customHeight="1">
      <c r="B12" s="94">
        <v>2012</v>
      </c>
      <c r="C12" s="95">
        <v>3.02</v>
      </c>
      <c r="D12" s="95">
        <v>3.04</v>
      </c>
      <c r="E12" s="95">
        <v>3.3</v>
      </c>
      <c r="F12" s="95">
        <v>2.5299999999999998</v>
      </c>
      <c r="G12" s="95">
        <v>3.04</v>
      </c>
      <c r="H12" s="97">
        <v>4.1099999999999998E-2</v>
      </c>
    </row>
    <row r="13" spans="2:8" ht="15.75" customHeight="1">
      <c r="B13" s="94">
        <v>2011</v>
      </c>
      <c r="C13" s="95">
        <v>2.95</v>
      </c>
      <c r="D13" s="95">
        <v>2.54</v>
      </c>
      <c r="E13" s="95">
        <v>3.31</v>
      </c>
      <c r="F13" s="95">
        <v>2.4900000000000002</v>
      </c>
      <c r="G13" s="95">
        <v>2.92</v>
      </c>
      <c r="H13" s="97">
        <v>0.14510000000000001</v>
      </c>
    </row>
    <row r="14" spans="2:8" ht="15.75" customHeight="1">
      <c r="B14" s="94">
        <v>2010</v>
      </c>
      <c r="C14" s="95">
        <v>2.13</v>
      </c>
      <c r="D14" s="95">
        <v>2.1800000000000002</v>
      </c>
      <c r="E14" s="95">
        <v>2.5499999999999998</v>
      </c>
      <c r="F14" s="95">
        <v>1.88</v>
      </c>
      <c r="G14" s="95">
        <v>2.5499999999999998</v>
      </c>
      <c r="H14" s="97">
        <v>0.20849999999999999</v>
      </c>
    </row>
    <row r="15" spans="2:8" ht="15.75" customHeight="1">
      <c r="B15" s="94">
        <v>2009</v>
      </c>
      <c r="C15" s="95">
        <v>1.65</v>
      </c>
      <c r="D15" s="95">
        <v>1.46</v>
      </c>
      <c r="E15" s="95">
        <v>2.11</v>
      </c>
      <c r="F15" s="95">
        <v>1.1200000000000001</v>
      </c>
      <c r="G15" s="95">
        <v>2.11</v>
      </c>
      <c r="H15" s="97">
        <v>0.61070000000000002</v>
      </c>
    </row>
    <row r="16" spans="2:8" ht="15.75" customHeight="1">
      <c r="B16" s="94">
        <v>2008</v>
      </c>
      <c r="C16" s="95">
        <v>2.86</v>
      </c>
      <c r="D16" s="95">
        <v>2.74</v>
      </c>
      <c r="E16" s="95">
        <v>4.08</v>
      </c>
      <c r="F16" s="95">
        <v>1.21</v>
      </c>
      <c r="G16" s="95">
        <v>1.31</v>
      </c>
      <c r="H16" s="99">
        <v>-0.50570000000000004</v>
      </c>
    </row>
    <row r="17" spans="2:8" ht="15.75" customHeight="1">
      <c r="B17" s="94">
        <v>2007</v>
      </c>
      <c r="C17" s="95">
        <v>2.0299999999999998</v>
      </c>
      <c r="D17" s="95">
        <v>1.66</v>
      </c>
      <c r="E17" s="95">
        <v>2.69</v>
      </c>
      <c r="F17" s="95">
        <v>1.45</v>
      </c>
      <c r="G17" s="95">
        <v>2.65</v>
      </c>
      <c r="H17" s="97">
        <v>0.65629999999999999</v>
      </c>
    </row>
    <row r="18" spans="2:8" ht="15.75" customHeight="1">
      <c r="B18" s="94">
        <v>2006</v>
      </c>
      <c r="C18" s="95">
        <v>1.81</v>
      </c>
      <c r="D18" s="95">
        <v>1.77</v>
      </c>
      <c r="E18" s="95">
        <v>2.1</v>
      </c>
      <c r="F18" s="95">
        <v>1.54</v>
      </c>
      <c r="G18" s="95">
        <v>1.6</v>
      </c>
      <c r="H18" s="99">
        <v>-6.9800000000000001E-2</v>
      </c>
    </row>
    <row r="19" spans="2:8" ht="15.75" customHeight="1">
      <c r="B19" s="94">
        <v>2005</v>
      </c>
      <c r="C19" s="95">
        <v>1.63</v>
      </c>
      <c r="D19" s="95">
        <v>1.17</v>
      </c>
      <c r="E19" s="95">
        <v>2.1800000000000002</v>
      </c>
      <c r="F19" s="95">
        <v>1.17</v>
      </c>
      <c r="G19" s="95">
        <v>1.72</v>
      </c>
      <c r="H19" s="97">
        <v>0.39839999999999998</v>
      </c>
    </row>
    <row r="20" spans="2:8" ht="15.75" customHeight="1">
      <c r="B20" s="94">
        <v>2004</v>
      </c>
      <c r="C20" s="95">
        <v>1.1200000000000001</v>
      </c>
      <c r="D20" s="95">
        <v>0.95</v>
      </c>
      <c r="E20" s="95">
        <v>1.59</v>
      </c>
      <c r="F20" s="95">
        <v>0.85</v>
      </c>
      <c r="G20" s="95">
        <v>1.23</v>
      </c>
      <c r="H20" s="97">
        <v>0.38200000000000001</v>
      </c>
    </row>
    <row r="21" spans="2:8" ht="15.75" customHeight="1">
      <c r="B21" s="94">
        <v>2003</v>
      </c>
      <c r="C21" s="95">
        <v>0.85</v>
      </c>
      <c r="D21" s="95">
        <v>0.89</v>
      </c>
      <c r="E21" s="95">
        <v>1.27</v>
      </c>
      <c r="F21" s="95">
        <v>0.69</v>
      </c>
      <c r="G21" s="95">
        <v>0.89</v>
      </c>
      <c r="H21" s="97">
        <v>2.3E-2</v>
      </c>
    </row>
    <row r="22" spans="2:8" ht="15.5">
      <c r="B22" s="94">
        <v>2002</v>
      </c>
      <c r="C22" s="95">
        <v>0.68</v>
      </c>
      <c r="D22" s="95">
        <v>0.57999999999999996</v>
      </c>
      <c r="E22" s="95">
        <v>0.9</v>
      </c>
      <c r="F22" s="95">
        <v>0.51</v>
      </c>
      <c r="G22" s="95">
        <v>0.87</v>
      </c>
      <c r="H22" s="97">
        <v>0.58179999999999998</v>
      </c>
    </row>
    <row r="23" spans="2:8" ht="15.5">
      <c r="B23" s="94">
        <v>2001</v>
      </c>
      <c r="C23" s="95">
        <v>0.71</v>
      </c>
      <c r="D23" s="95">
        <v>0.9</v>
      </c>
      <c r="E23" s="95">
        <v>0.9</v>
      </c>
      <c r="F23" s="95">
        <v>0.47</v>
      </c>
      <c r="G23" s="95">
        <v>0.55000000000000004</v>
      </c>
      <c r="H23" s="99">
        <v>-0.40860000000000002</v>
      </c>
    </row>
    <row r="24" spans="2:8" ht="15.5">
      <c r="B24" s="94">
        <v>2000</v>
      </c>
      <c r="C24" s="95">
        <v>0.88</v>
      </c>
      <c r="D24" s="95">
        <v>0.69</v>
      </c>
      <c r="E24" s="95">
        <v>1.77</v>
      </c>
      <c r="F24" s="95">
        <v>0.66</v>
      </c>
      <c r="G24" s="95">
        <v>0.93</v>
      </c>
      <c r="H24" s="97">
        <v>0.3286</v>
      </c>
    </row>
    <row r="25" spans="2:8" ht="15.5">
      <c r="B25" s="94">
        <v>1999</v>
      </c>
      <c r="C25" s="95">
        <v>0.49</v>
      </c>
      <c r="D25" s="95">
        <v>0.35</v>
      </c>
      <c r="E25" s="95">
        <v>0.71</v>
      </c>
      <c r="F25" s="95">
        <v>0.28000000000000003</v>
      </c>
      <c r="G25" s="95">
        <v>0.7</v>
      </c>
      <c r="H25" s="97">
        <v>1.1212</v>
      </c>
    </row>
    <row r="26" spans="2:8" ht="15.5">
      <c r="B26" s="94">
        <v>1998</v>
      </c>
      <c r="C26" s="95">
        <v>0.39</v>
      </c>
      <c r="D26" s="95">
        <v>0.49</v>
      </c>
      <c r="E26" s="95">
        <v>0.49</v>
      </c>
      <c r="F26" s="95">
        <v>0.3</v>
      </c>
      <c r="G26" s="95">
        <v>0.33</v>
      </c>
      <c r="H26" s="99">
        <v>-0.32650000000000001</v>
      </c>
    </row>
    <row r="27" spans="2:8" ht="15.5">
      <c r="B27" s="94">
        <v>1997</v>
      </c>
      <c r="C27" s="95">
        <v>0.56000000000000005</v>
      </c>
      <c r="D27" s="95">
        <v>0.73</v>
      </c>
      <c r="E27" s="95">
        <v>0.74</v>
      </c>
      <c r="F27" s="95">
        <v>0.49</v>
      </c>
      <c r="G27" s="95">
        <v>0.49</v>
      </c>
      <c r="H27" s="99">
        <v>-0.32879999999999998</v>
      </c>
    </row>
    <row r="28" spans="2:8" ht="15.5">
      <c r="B28" s="94">
        <v>1996</v>
      </c>
      <c r="C28" s="95">
        <v>0.63</v>
      </c>
      <c r="D28" s="95">
        <v>0.6</v>
      </c>
      <c r="E28" s="95">
        <v>0.8</v>
      </c>
      <c r="F28" s="95">
        <v>0.5</v>
      </c>
      <c r="G28" s="95">
        <v>0.73</v>
      </c>
      <c r="H28" s="97">
        <v>0.2586</v>
      </c>
    </row>
    <row r="29" spans="2:8" ht="15.5">
      <c r="B29" s="94">
        <v>1995</v>
      </c>
      <c r="C29" s="95">
        <v>0.49</v>
      </c>
      <c r="D29" s="95">
        <v>0.5</v>
      </c>
      <c r="E29" s="95">
        <v>0.62</v>
      </c>
      <c r="F29" s="95">
        <v>0.44</v>
      </c>
      <c r="G29" s="95">
        <v>0.57999999999999996</v>
      </c>
      <c r="H29" s="97">
        <v>0.13730000000000001</v>
      </c>
    </row>
    <row r="30" spans="2:8" ht="15.5">
      <c r="B30" s="94">
        <v>1994</v>
      </c>
      <c r="C30" s="95">
        <v>0.49</v>
      </c>
      <c r="D30" s="95">
        <v>0.45</v>
      </c>
      <c r="E30" s="95">
        <v>0.63</v>
      </c>
      <c r="F30" s="95">
        <v>0.45</v>
      </c>
      <c r="G30" s="95">
        <v>0.51</v>
      </c>
      <c r="H30" s="97">
        <v>0.15909999999999999</v>
      </c>
    </row>
    <row r="31" spans="2:8" ht="15.5">
      <c r="B31" s="94">
        <v>1993</v>
      </c>
      <c r="C31" s="95">
        <v>0.52</v>
      </c>
      <c r="D31" s="95">
        <v>0.54</v>
      </c>
      <c r="E31" s="95">
        <v>0.6</v>
      </c>
      <c r="F31" s="95">
        <v>0.42</v>
      </c>
      <c r="G31" s="95">
        <v>0.44</v>
      </c>
      <c r="H31" s="99">
        <v>-0.21429999999999999</v>
      </c>
    </row>
    <row r="32" spans="2:8" ht="15.5">
      <c r="B32" s="94">
        <v>1992</v>
      </c>
      <c r="C32" s="95">
        <v>0.56999999999999995</v>
      </c>
      <c r="D32" s="95">
        <v>0.49</v>
      </c>
      <c r="E32" s="95">
        <v>0.65</v>
      </c>
      <c r="F32" s="95">
        <v>0.47</v>
      </c>
      <c r="G32" s="95">
        <v>0.56000000000000005</v>
      </c>
      <c r="H32" s="97">
        <v>0.1915</v>
      </c>
    </row>
    <row r="33" spans="2:8" ht="15.5">
      <c r="B33" s="94">
        <v>1991</v>
      </c>
      <c r="C33" s="95">
        <v>0.61</v>
      </c>
      <c r="D33" s="95">
        <v>0.75</v>
      </c>
      <c r="E33" s="95">
        <v>0.95</v>
      </c>
      <c r="F33" s="95">
        <v>0.46</v>
      </c>
      <c r="G33" s="95">
        <v>0.47</v>
      </c>
      <c r="H33" s="99">
        <v>-0.41980000000000001</v>
      </c>
    </row>
    <row r="34" spans="2:8" ht="15.5">
      <c r="B34" s="94">
        <v>1990</v>
      </c>
      <c r="C34" s="95">
        <v>0.69</v>
      </c>
      <c r="D34" s="95">
        <v>1.01</v>
      </c>
      <c r="E34" s="95">
        <v>1.04</v>
      </c>
      <c r="F34" s="95">
        <v>0.47</v>
      </c>
      <c r="G34" s="95">
        <v>0.81</v>
      </c>
      <c r="H34" s="99">
        <v>-0.19</v>
      </c>
    </row>
    <row r="35" spans="2:8" ht="15.5">
      <c r="B35" s="94">
        <v>1989</v>
      </c>
      <c r="C35" s="95">
        <v>0.56000000000000005</v>
      </c>
      <c r="D35" s="95">
        <v>0.54</v>
      </c>
      <c r="E35" s="95">
        <v>1.1499999999999999</v>
      </c>
      <c r="F35" s="95">
        <v>0.45</v>
      </c>
      <c r="G35" s="95">
        <v>1</v>
      </c>
      <c r="H35" s="97">
        <v>0.85189999999999999</v>
      </c>
    </row>
    <row r="36" spans="2:8" ht="15.5">
      <c r="B36" s="94">
        <v>1988</v>
      </c>
      <c r="C36" s="95">
        <v>0.46</v>
      </c>
      <c r="D36" s="95">
        <v>0.53</v>
      </c>
      <c r="E36" s="95">
        <v>0.56000000000000005</v>
      </c>
      <c r="F36" s="95">
        <v>0.36</v>
      </c>
      <c r="G36" s="95">
        <v>0.54</v>
      </c>
      <c r="H36" s="97">
        <v>5.8799999999999998E-2</v>
      </c>
    </row>
    <row r="37" spans="2:8" ht="15.5">
      <c r="B37" s="94">
        <v>1987</v>
      </c>
      <c r="C37" s="95">
        <v>0.52</v>
      </c>
      <c r="D37" s="95">
        <v>0.49</v>
      </c>
      <c r="E37" s="95">
        <v>0.57999999999999996</v>
      </c>
      <c r="F37" s="95">
        <v>0.43</v>
      </c>
      <c r="G37" s="95">
        <v>0.51</v>
      </c>
      <c r="H37" s="97">
        <v>6.25E-2</v>
      </c>
    </row>
  </sheetData>
  <hyperlinks>
    <hyperlink ref="B2"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K77"/>
  <sheetViews>
    <sheetView workbookViewId="0"/>
  </sheetViews>
  <sheetFormatPr defaultColWidth="14.453125" defaultRowHeight="15.75" customHeight="1"/>
  <sheetData>
    <row r="2" spans="1:11" ht="15.75" customHeight="1">
      <c r="A2" s="105">
        <v>2017</v>
      </c>
      <c r="B2" s="106" t="s">
        <v>153</v>
      </c>
      <c r="C2" s="107"/>
      <c r="D2" s="107"/>
      <c r="E2" s="107"/>
      <c r="F2" s="107"/>
      <c r="G2" s="108"/>
    </row>
    <row r="3" spans="1:11" ht="15.75" customHeight="1">
      <c r="A3" s="109"/>
      <c r="D3" s="54">
        <v>29138177.375100002</v>
      </c>
      <c r="E3" s="4" t="s">
        <v>154</v>
      </c>
      <c r="G3" s="110"/>
    </row>
    <row r="4" spans="1:11" ht="15.75" customHeight="1">
      <c r="A4" s="109"/>
      <c r="G4" s="110"/>
    </row>
    <row r="5" spans="1:11" ht="15.75" customHeight="1">
      <c r="A5" s="109"/>
      <c r="B5" s="111" t="s">
        <v>155</v>
      </c>
      <c r="G5" s="110"/>
      <c r="H5" s="4">
        <v>5000000</v>
      </c>
    </row>
    <row r="6" spans="1:11" ht="15.75" customHeight="1">
      <c r="A6" s="109"/>
      <c r="B6" s="20" t="s">
        <v>156</v>
      </c>
      <c r="G6" s="110"/>
      <c r="H6" s="34">
        <f>H5/D3</f>
        <v>0.17159618241162691</v>
      </c>
    </row>
    <row r="7" spans="1:11" ht="15.75" customHeight="1">
      <c r="A7" s="113"/>
      <c r="B7" s="114"/>
      <c r="C7" s="114"/>
      <c r="D7" s="114"/>
      <c r="E7" s="114"/>
      <c r="F7" s="114"/>
      <c r="G7" s="115"/>
    </row>
    <row r="9" spans="1:11" ht="15.75" customHeight="1">
      <c r="A9" s="105">
        <v>2016</v>
      </c>
      <c r="B9" s="116" t="s">
        <v>158</v>
      </c>
      <c r="C9" s="107"/>
      <c r="D9" s="107"/>
      <c r="E9" s="106" t="s">
        <v>159</v>
      </c>
      <c r="F9" s="107"/>
      <c r="G9" s="107"/>
      <c r="H9" s="107"/>
      <c r="I9" s="107"/>
      <c r="J9" s="107"/>
      <c r="K9" s="108"/>
    </row>
    <row r="10" spans="1:11" ht="15.75" customHeight="1">
      <c r="A10" s="109"/>
      <c r="K10" s="110"/>
    </row>
    <row r="11" spans="1:11" ht="15.75" customHeight="1">
      <c r="A11" s="109"/>
      <c r="B11" s="4" t="s">
        <v>160</v>
      </c>
      <c r="D11" s="20" t="s">
        <v>161</v>
      </c>
      <c r="K11" s="110"/>
    </row>
    <row r="12" spans="1:11" ht="15.75" customHeight="1">
      <c r="A12" s="109"/>
      <c r="B12" s="4">
        <v>27685231.087099999</v>
      </c>
      <c r="C12" s="4" t="s">
        <v>154</v>
      </c>
      <c r="K12" s="110"/>
    </row>
    <row r="13" spans="1:11" ht="15.75" customHeight="1">
      <c r="A13" s="109"/>
      <c r="B13" s="14">
        <v>2.3039999999999998</v>
      </c>
      <c r="C13" s="4" t="s">
        <v>163</v>
      </c>
      <c r="K13" s="110"/>
    </row>
    <row r="14" spans="1:11" ht="15.75" customHeight="1">
      <c r="A14" s="109"/>
      <c r="B14">
        <f>B13*B12</f>
        <v>63786772.424678393</v>
      </c>
      <c r="C14" s="4" t="s">
        <v>164</v>
      </c>
      <c r="E14" s="34">
        <f>1000000/B12</f>
        <v>3.6120341450425981E-2</v>
      </c>
      <c r="K14" s="110"/>
    </row>
    <row r="15" spans="1:11" ht="15.75" customHeight="1">
      <c r="A15" s="109"/>
      <c r="K15" s="110"/>
    </row>
    <row r="16" spans="1:11" ht="15.75" customHeight="1">
      <c r="A16" s="109"/>
      <c r="B16" s="111" t="s">
        <v>165</v>
      </c>
      <c r="K16" s="110"/>
    </row>
    <row r="17" spans="1:11" ht="15.75" customHeight="1">
      <c r="A17" s="109"/>
      <c r="K17" s="110"/>
    </row>
    <row r="18" spans="1:11" ht="15.75" customHeight="1">
      <c r="A18" s="113"/>
      <c r="B18" s="121" t="s">
        <v>166</v>
      </c>
      <c r="C18" s="114"/>
      <c r="D18" s="114"/>
      <c r="E18" s="114"/>
      <c r="F18" s="114"/>
      <c r="G18" s="114"/>
      <c r="H18" s="122" t="s">
        <v>167</v>
      </c>
      <c r="I18" s="114"/>
      <c r="J18" s="114"/>
      <c r="K18" s="115"/>
    </row>
    <row r="21" spans="1:11" ht="15.75" customHeight="1">
      <c r="A21" s="105">
        <v>2015</v>
      </c>
      <c r="B21" s="124" t="s">
        <v>168</v>
      </c>
      <c r="C21" s="107"/>
      <c r="D21" s="107"/>
      <c r="E21" s="107"/>
      <c r="F21" s="107"/>
      <c r="G21" s="107"/>
      <c r="H21" s="107"/>
      <c r="I21" s="107"/>
      <c r="J21" s="108"/>
    </row>
    <row r="22" spans="1:11" ht="12.5">
      <c r="A22" s="109"/>
      <c r="J22" s="110"/>
    </row>
    <row r="23" spans="1:11" ht="12.5">
      <c r="A23" s="109"/>
      <c r="B23" s="111" t="s">
        <v>169</v>
      </c>
      <c r="J23" s="110"/>
    </row>
    <row r="24" spans="1:11" ht="12.5">
      <c r="A24" s="109"/>
      <c r="J24" s="110"/>
    </row>
    <row r="25" spans="1:11" ht="12.5">
      <c r="A25" s="109"/>
      <c r="B25" s="4" t="s">
        <v>170</v>
      </c>
      <c r="J25" s="110"/>
    </row>
    <row r="26" spans="1:11" ht="12.5">
      <c r="A26" s="109"/>
      <c r="C26" s="4">
        <v>29745773.0955</v>
      </c>
      <c r="D26" s="4" t="s">
        <v>171</v>
      </c>
      <c r="J26" s="110"/>
    </row>
    <row r="27" spans="1:11" ht="15.5">
      <c r="A27" s="109"/>
      <c r="C27" s="14">
        <v>2.7069999999999999</v>
      </c>
      <c r="D27" s="4" t="s">
        <v>163</v>
      </c>
      <c r="E27" s="34">
        <f>7000000/C26</f>
        <v>0.23532755317961374</v>
      </c>
      <c r="G27" s="125" t="s">
        <v>173</v>
      </c>
      <c r="J27" s="110"/>
    </row>
    <row r="28" spans="1:11" ht="12.5">
      <c r="A28" s="109"/>
      <c r="C28">
        <f>C26*C27</f>
        <v>80521807.769518495</v>
      </c>
      <c r="D28" s="4" t="s">
        <v>164</v>
      </c>
      <c r="J28" s="110"/>
    </row>
    <row r="29" spans="1:11" ht="12.5">
      <c r="A29" s="109"/>
      <c r="J29" s="110"/>
    </row>
    <row r="30" spans="1:11" ht="12.5">
      <c r="A30" s="113"/>
      <c r="B30" s="121" t="s">
        <v>174</v>
      </c>
      <c r="C30" s="114"/>
      <c r="D30" s="114"/>
      <c r="E30" s="114"/>
      <c r="F30" s="114"/>
      <c r="G30" s="114"/>
      <c r="H30" s="114"/>
      <c r="I30" s="114"/>
      <c r="J30" s="115"/>
    </row>
    <row r="32" spans="1:11" ht="12.5">
      <c r="A32" s="105">
        <v>2014</v>
      </c>
      <c r="B32" s="107"/>
      <c r="C32" s="107"/>
      <c r="D32" s="107"/>
      <c r="E32" s="107"/>
      <c r="F32" s="107"/>
      <c r="G32" s="107"/>
      <c r="H32" s="107"/>
      <c r="I32" s="107"/>
      <c r="J32" s="107"/>
      <c r="K32" s="108"/>
    </row>
    <row r="33" spans="1:11" ht="12.5">
      <c r="A33" s="109"/>
      <c r="B33" s="111" t="s">
        <v>176</v>
      </c>
      <c r="K33" s="110"/>
    </row>
    <row r="34" spans="1:11" ht="12.5">
      <c r="A34" s="109"/>
      <c r="K34" s="110"/>
    </row>
    <row r="35" spans="1:11" ht="12.5">
      <c r="A35" s="109"/>
      <c r="B35" s="111" t="s">
        <v>177</v>
      </c>
      <c r="K35" s="110"/>
    </row>
    <row r="36" spans="1:11" ht="12.5">
      <c r="A36" s="109"/>
      <c r="K36" s="110"/>
    </row>
    <row r="37" spans="1:11" ht="12.5">
      <c r="A37" s="109"/>
      <c r="C37" s="4" t="s">
        <v>178</v>
      </c>
      <c r="K37" s="110"/>
    </row>
    <row r="38" spans="1:11" ht="12.5">
      <c r="A38" s="109"/>
      <c r="C38" s="4">
        <v>28266409.602299999</v>
      </c>
      <c r="D38" s="4" t="s">
        <v>154</v>
      </c>
      <c r="K38" s="110"/>
    </row>
    <row r="39" spans="1:11" ht="13">
      <c r="A39" s="109"/>
      <c r="C39" s="14">
        <v>3.8250000000000002</v>
      </c>
      <c r="D39" s="4" t="s">
        <v>163</v>
      </c>
      <c r="E39" s="34">
        <f>14000000/C38</f>
        <v>0.49528752314057034</v>
      </c>
      <c r="H39" s="127" t="s">
        <v>180</v>
      </c>
      <c r="I39" s="128"/>
      <c r="J39" s="129"/>
      <c r="K39" s="110"/>
    </row>
    <row r="40" spans="1:11" ht="13">
      <c r="A40" s="109"/>
      <c r="C40">
        <f>C38*C39</f>
        <v>108119016.72879751</v>
      </c>
      <c r="D40" s="4" t="s">
        <v>164</v>
      </c>
      <c r="H40" s="130">
        <v>2015</v>
      </c>
      <c r="I40" s="131">
        <v>2016</v>
      </c>
      <c r="J40" s="132">
        <v>2017</v>
      </c>
      <c r="K40" s="110"/>
    </row>
    <row r="41" spans="1:11" ht="13">
      <c r="A41" s="109"/>
      <c r="H41" s="133">
        <v>7000000</v>
      </c>
      <c r="I41" s="135">
        <v>6000000</v>
      </c>
      <c r="J41" s="137">
        <v>1000000</v>
      </c>
      <c r="K41" s="110"/>
    </row>
    <row r="42" spans="1:11" ht="12.5">
      <c r="A42" s="109"/>
      <c r="C42" s="111" t="s">
        <v>185</v>
      </c>
      <c r="K42" s="110"/>
    </row>
    <row r="43" spans="1:11" ht="12.5">
      <c r="A43" s="113"/>
      <c r="B43" s="114"/>
      <c r="C43" s="114"/>
      <c r="D43" s="114"/>
      <c r="E43" s="114"/>
      <c r="F43" s="114"/>
      <c r="G43" s="114"/>
      <c r="H43" s="114"/>
      <c r="I43" s="114"/>
      <c r="J43" s="114"/>
      <c r="K43" s="115"/>
    </row>
    <row r="45" spans="1:11" ht="12.5">
      <c r="A45" s="4">
        <v>2013</v>
      </c>
    </row>
    <row r="46" spans="1:11" ht="12.5">
      <c r="B46" s="111" t="s">
        <v>186</v>
      </c>
    </row>
    <row r="47" spans="1:11" ht="12.5">
      <c r="B47" s="111" t="s">
        <v>187</v>
      </c>
    </row>
    <row r="49" spans="1:3" ht="12.5">
      <c r="B49" s="4" t="s">
        <v>188</v>
      </c>
    </row>
    <row r="50" spans="1:3" ht="12.5">
      <c r="B50" s="4">
        <v>26681377.288199998</v>
      </c>
      <c r="C50" s="4" t="s">
        <v>189</v>
      </c>
    </row>
    <row r="51" spans="1:3" ht="12.5">
      <c r="B51" s="14">
        <v>3.9220000000000002</v>
      </c>
    </row>
    <row r="52" spans="1:3" ht="12.5">
      <c r="B52">
        <f>B51*B50</f>
        <v>104644361.7243204</v>
      </c>
      <c r="C52" s="4" t="s">
        <v>164</v>
      </c>
    </row>
    <row r="54" spans="1:3" ht="12.5">
      <c r="A54" s="4">
        <v>2012</v>
      </c>
      <c r="B54" s="111" t="s">
        <v>190</v>
      </c>
    </row>
    <row r="55" spans="1:3" ht="12.5">
      <c r="B55" s="111" t="s">
        <v>191</v>
      </c>
    </row>
    <row r="57" spans="1:3" ht="12.5">
      <c r="B57" s="4" t="s">
        <v>192</v>
      </c>
    </row>
    <row r="58" spans="1:3" ht="12.5">
      <c r="B58" s="4">
        <v>26417205.236000001</v>
      </c>
      <c r="C58" s="4" t="s">
        <v>154</v>
      </c>
    </row>
    <row r="59" spans="1:3" ht="12.5">
      <c r="B59" s="73">
        <v>3.968</v>
      </c>
      <c r="C59" s="4" t="s">
        <v>163</v>
      </c>
    </row>
    <row r="60" spans="1:3" ht="12.5">
      <c r="B60">
        <f>B59*B58</f>
        <v>104823470.37644801</v>
      </c>
      <c r="C60" s="4" t="s">
        <v>164</v>
      </c>
    </row>
    <row r="62" spans="1:3" ht="12.5">
      <c r="B62" s="111" t="s">
        <v>194</v>
      </c>
    </row>
    <row r="64" spans="1:3" ht="12.5">
      <c r="A64" s="4">
        <v>2011</v>
      </c>
      <c r="B64" s="111" t="s">
        <v>195</v>
      </c>
    </row>
    <row r="65" spans="1:9" ht="12.5">
      <c r="B65" s="111" t="s">
        <v>197</v>
      </c>
    </row>
    <row r="66" spans="1:9" ht="12.5">
      <c r="E66">
        <f>(875+950)/2*1000</f>
        <v>912500</v>
      </c>
    </row>
    <row r="67" spans="1:9" ht="12.5">
      <c r="B67" s="4" t="s">
        <v>198</v>
      </c>
      <c r="H67" s="4">
        <v>25017093.357999999</v>
      </c>
      <c r="I67" s="4" t="s">
        <v>154</v>
      </c>
    </row>
    <row r="68" spans="1:9" ht="12.5">
      <c r="H68" s="14">
        <v>3.84</v>
      </c>
      <c r="I68" s="4" t="s">
        <v>163</v>
      </c>
    </row>
    <row r="69" spans="1:9" ht="12.5">
      <c r="H69">
        <f>H68*H67</f>
        <v>96065638.494719997</v>
      </c>
      <c r="I69" s="4" t="s">
        <v>164</v>
      </c>
    </row>
    <row r="71" spans="1:9" ht="12.5">
      <c r="A71" s="4">
        <v>2010</v>
      </c>
      <c r="B71" s="112" t="s">
        <v>199</v>
      </c>
      <c r="C71" s="34"/>
      <c r="D71" s="34"/>
    </row>
    <row r="73" spans="1:9" ht="12.5">
      <c r="B73" s="4" t="s">
        <v>200</v>
      </c>
      <c r="F73" s="20" t="s">
        <v>127</v>
      </c>
    </row>
    <row r="74" spans="1:9" ht="12.5">
      <c r="B74">
        <f>987607*1.18</f>
        <v>1165376.26</v>
      </c>
    </row>
    <row r="76" spans="1:9" ht="12.5">
      <c r="B76" s="4" t="s">
        <v>203</v>
      </c>
    </row>
    <row r="77" spans="1:9" ht="12.5">
      <c r="D77" s="54">
        <v>20556812</v>
      </c>
      <c r="E77" s="54" t="s">
        <v>154</v>
      </c>
    </row>
  </sheetData>
  <hyperlinks>
    <hyperlink ref="B6" r:id="rId1"/>
    <hyperlink ref="D11" r:id="rId2"/>
    <hyperlink ref="F73"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I56"/>
  <sheetViews>
    <sheetView workbookViewId="0"/>
  </sheetViews>
  <sheetFormatPr defaultColWidth="14.453125" defaultRowHeight="15.75" customHeight="1"/>
  <sheetData>
    <row r="2" spans="2:9" ht="15.75" customHeight="1">
      <c r="B2" s="4" t="s">
        <v>210</v>
      </c>
    </row>
    <row r="4" spans="2:9" ht="15.75" customHeight="1">
      <c r="B4" s="139"/>
      <c r="C4" s="106">
        <v>2010</v>
      </c>
      <c r="D4" s="140">
        <v>2009</v>
      </c>
      <c r="E4" s="106">
        <v>2008</v>
      </c>
      <c r="F4" s="106">
        <v>2007</v>
      </c>
      <c r="G4" s="107"/>
      <c r="H4" s="108"/>
    </row>
    <row r="5" spans="2:9" ht="15.75" customHeight="1">
      <c r="B5" s="141" t="s">
        <v>211</v>
      </c>
      <c r="C5" s="142" t="s">
        <v>212</v>
      </c>
      <c r="D5" s="143" t="s">
        <v>213</v>
      </c>
      <c r="E5" s="144" t="s">
        <v>214</v>
      </c>
      <c r="F5" s="144" t="s">
        <v>216</v>
      </c>
      <c r="H5" s="110"/>
    </row>
    <row r="6" spans="2:9" ht="15.75" customHeight="1">
      <c r="B6" s="113"/>
      <c r="C6" s="122"/>
      <c r="D6" s="145">
        <v>1731383</v>
      </c>
      <c r="E6" s="146" t="s">
        <v>171</v>
      </c>
      <c r="F6" s="114"/>
      <c r="G6" s="114"/>
      <c r="H6" s="115"/>
    </row>
    <row r="8" spans="2:9" ht="15.75" customHeight="1">
      <c r="B8" s="105">
        <v>2011</v>
      </c>
      <c r="C8" s="107"/>
      <c r="D8" s="107"/>
      <c r="E8" s="107"/>
      <c r="F8" s="107"/>
      <c r="G8" s="107"/>
      <c r="H8" s="108"/>
    </row>
    <row r="9" spans="2:9" ht="15.75" customHeight="1">
      <c r="B9" s="71" t="s">
        <v>218</v>
      </c>
      <c r="H9" s="110"/>
    </row>
    <row r="10" spans="2:9" ht="15.75" customHeight="1">
      <c r="B10" s="71">
        <v>2011</v>
      </c>
      <c r="C10" s="4">
        <v>2010</v>
      </c>
      <c r="D10" s="4">
        <v>2009</v>
      </c>
      <c r="E10" s="4">
        <v>2008</v>
      </c>
      <c r="H10" s="110"/>
    </row>
    <row r="11" spans="2:9" ht="15.75" customHeight="1">
      <c r="B11" s="147" t="s">
        <v>219</v>
      </c>
      <c r="C11" s="122">
        <v>8899</v>
      </c>
      <c r="D11" s="122">
        <v>6554</v>
      </c>
      <c r="E11" s="122">
        <v>12833</v>
      </c>
      <c r="F11" s="114"/>
      <c r="G11" s="114"/>
      <c r="H11" s="115"/>
    </row>
    <row r="14" spans="2:9" ht="15.75" customHeight="1">
      <c r="B14" s="105" t="s">
        <v>220</v>
      </c>
      <c r="C14" s="107"/>
      <c r="D14" s="107"/>
      <c r="E14" s="107"/>
      <c r="F14" s="107"/>
      <c r="G14" s="107"/>
      <c r="H14" s="108"/>
      <c r="I14" s="4" t="s">
        <v>221</v>
      </c>
    </row>
    <row r="15" spans="2:9" ht="15.75" customHeight="1">
      <c r="B15" s="109"/>
      <c r="H15" s="110"/>
    </row>
    <row r="16" spans="2:9" ht="15.75" customHeight="1">
      <c r="B16" s="148">
        <v>2012</v>
      </c>
      <c r="C16" s="4">
        <v>2011</v>
      </c>
      <c r="D16" s="4">
        <v>2010</v>
      </c>
      <c r="E16" s="4">
        <v>2009</v>
      </c>
      <c r="H16" s="110"/>
    </row>
    <row r="17" spans="2:8" ht="15.75" customHeight="1">
      <c r="B17" s="149">
        <v>30135</v>
      </c>
      <c r="C17" s="122">
        <v>44788</v>
      </c>
      <c r="D17" s="122">
        <v>51826</v>
      </c>
      <c r="E17" s="122">
        <v>6554</v>
      </c>
      <c r="F17" s="114"/>
      <c r="G17" s="114"/>
      <c r="H17" s="115"/>
    </row>
    <row r="18" spans="2:8" ht="15.75" customHeight="1">
      <c r="B18" s="150">
        <v>7960824</v>
      </c>
      <c r="C18" s="150">
        <v>11831737</v>
      </c>
      <c r="D18" s="150">
        <v>13690980</v>
      </c>
      <c r="E18" s="4" t="s">
        <v>154</v>
      </c>
    </row>
    <row r="22" spans="2:8" ht="12.5">
      <c r="C22" s="54">
        <v>2013</v>
      </c>
      <c r="D22" s="4">
        <v>2012</v>
      </c>
      <c r="E22" s="4">
        <v>2011</v>
      </c>
      <c r="F22" s="4">
        <v>2010</v>
      </c>
    </row>
    <row r="23" spans="2:8" ht="12.5">
      <c r="B23" s="152" t="s">
        <v>222</v>
      </c>
      <c r="C23" s="153" t="s">
        <v>223</v>
      </c>
      <c r="D23" s="154" t="s">
        <v>225</v>
      </c>
      <c r="E23" s="154" t="s">
        <v>226</v>
      </c>
      <c r="F23" s="154" t="s">
        <v>227</v>
      </c>
    </row>
    <row r="24" spans="2:8" ht="12.5">
      <c r="C24" s="150">
        <v>16208276</v>
      </c>
    </row>
    <row r="26" spans="2:8" ht="12.5">
      <c r="B26" s="4">
        <v>2014</v>
      </c>
    </row>
    <row r="27" spans="2:8" ht="12.5">
      <c r="B27" s="4" t="s">
        <v>228</v>
      </c>
    </row>
    <row r="28" spans="2:8" ht="12.5">
      <c r="C28" s="54">
        <v>2014</v>
      </c>
      <c r="D28" s="4">
        <v>2013</v>
      </c>
      <c r="E28" s="4">
        <v>2012</v>
      </c>
      <c r="F28" s="4">
        <v>2011</v>
      </c>
      <c r="G28" s="4">
        <v>2010</v>
      </c>
    </row>
    <row r="29" spans="2:8" ht="12.5">
      <c r="C29" s="54">
        <v>27148</v>
      </c>
      <c r="D29" s="4">
        <v>61354</v>
      </c>
      <c r="E29" s="4">
        <v>30135</v>
      </c>
      <c r="F29" s="4">
        <v>44788</v>
      </c>
      <c r="G29" s="4">
        <v>51826</v>
      </c>
    </row>
    <row r="30" spans="2:8" ht="12.5">
      <c r="C30" s="150">
        <v>7171742</v>
      </c>
    </row>
    <row r="33" spans="2:3" ht="12.5">
      <c r="B33" s="4" t="s">
        <v>229</v>
      </c>
    </row>
    <row r="34" spans="2:3" ht="12.5">
      <c r="B34" s="54">
        <v>2015</v>
      </c>
      <c r="C34" s="4">
        <v>2014</v>
      </c>
    </row>
    <row r="35" spans="2:3" ht="12.5">
      <c r="B35" s="54">
        <v>24464</v>
      </c>
      <c r="C35" s="4">
        <v>27148</v>
      </c>
    </row>
    <row r="36" spans="2:3" ht="12.5">
      <c r="B36" s="150">
        <v>6462705</v>
      </c>
    </row>
    <row r="38" spans="2:3" ht="12.5">
      <c r="B38" s="4" t="s">
        <v>231</v>
      </c>
    </row>
    <row r="39" spans="2:3" ht="12.5">
      <c r="B39" s="54">
        <v>2016</v>
      </c>
    </row>
    <row r="40" spans="2:3" ht="12.5">
      <c r="B40" s="54">
        <v>20298</v>
      </c>
    </row>
    <row r="41" spans="2:3" ht="12.5">
      <c r="B41" s="150">
        <v>5362164</v>
      </c>
    </row>
    <row r="42" spans="2:3" ht="12.5">
      <c r="B42" s="4"/>
    </row>
    <row r="43" spans="2:3" ht="12.5">
      <c r="B43" s="4" t="s">
        <v>232</v>
      </c>
    </row>
    <row r="44" spans="2:3" ht="12.5">
      <c r="B44" s="54">
        <v>2017</v>
      </c>
    </row>
    <row r="45" spans="2:3" ht="12.5">
      <c r="B45" s="54">
        <v>40811</v>
      </c>
    </row>
    <row r="46" spans="2:3" ht="12.5">
      <c r="B46" s="150">
        <v>10781125</v>
      </c>
    </row>
    <row r="50" spans="2:6" ht="12.5">
      <c r="B50" s="4">
        <v>2009</v>
      </c>
      <c r="E50" s="145">
        <v>1731383</v>
      </c>
      <c r="F50" s="146" t="s">
        <v>171</v>
      </c>
    </row>
    <row r="51" spans="2:6" ht="12.5">
      <c r="B51" s="4" t="s">
        <v>233</v>
      </c>
      <c r="C51" s="155">
        <v>1460000</v>
      </c>
      <c r="E51" s="14">
        <v>2.4670000000000001</v>
      </c>
      <c r="F51" s="4" t="s">
        <v>163</v>
      </c>
    </row>
    <row r="52" spans="2:6" ht="12.5">
      <c r="B52" s="4" t="s">
        <v>79</v>
      </c>
      <c r="C52" s="155">
        <v>850000000</v>
      </c>
      <c r="E52">
        <f>E51*E50</f>
        <v>4271321.8610000005</v>
      </c>
      <c r="F52" s="4" t="s">
        <v>164</v>
      </c>
    </row>
    <row r="54" spans="2:6" ht="12.5">
      <c r="B54" s="156" t="s">
        <v>234</v>
      </c>
    </row>
    <row r="56" spans="2:6" ht="12.5">
      <c r="B56" s="4" t="s">
        <v>235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02"/>
  <sheetViews>
    <sheetView workbookViewId="0"/>
  </sheetViews>
  <sheetFormatPr defaultColWidth="14.453125" defaultRowHeight="15.75" customHeight="1"/>
  <sheetData>
    <row r="1" spans="2:14" ht="15.75" customHeight="1">
      <c r="B1" s="139"/>
      <c r="C1" s="107"/>
      <c r="D1" s="106" t="s">
        <v>243</v>
      </c>
      <c r="E1" s="106" t="s">
        <v>171</v>
      </c>
      <c r="F1" s="106" t="s">
        <v>163</v>
      </c>
      <c r="G1" s="106" t="s">
        <v>164</v>
      </c>
      <c r="H1" s="107"/>
      <c r="I1" s="107"/>
      <c r="J1" s="107"/>
      <c r="K1" s="107"/>
      <c r="L1" s="107"/>
      <c r="M1" s="108"/>
    </row>
    <row r="2" spans="2:14" ht="15.75" customHeight="1">
      <c r="B2" s="71">
        <v>2009</v>
      </c>
      <c r="D2" s="155">
        <v>2187054</v>
      </c>
      <c r="E2" s="67">
        <v>14926658</v>
      </c>
      <c r="F2" s="14">
        <v>2.4670000000000001</v>
      </c>
      <c r="G2" s="165">
        <f>F2*E2</f>
        <v>36824065.285999998</v>
      </c>
      <c r="I2" s="997" t="s">
        <v>245</v>
      </c>
      <c r="J2" s="996"/>
      <c r="K2" s="996"/>
      <c r="L2" s="996"/>
      <c r="M2" s="998"/>
      <c r="N2" s="167"/>
    </row>
    <row r="3" spans="2:14" ht="15.75" customHeight="1">
      <c r="B3" s="109"/>
      <c r="I3" s="996"/>
      <c r="J3" s="996"/>
      <c r="K3" s="996"/>
      <c r="L3" s="996"/>
      <c r="M3" s="998"/>
      <c r="N3" s="168"/>
    </row>
    <row r="4" spans="2:14" ht="15.75" customHeight="1">
      <c r="B4" s="109"/>
      <c r="C4" s="4">
        <v>939000</v>
      </c>
      <c r="D4" s="4" t="s">
        <v>247</v>
      </c>
      <c r="I4" s="996"/>
      <c r="J4" s="996"/>
      <c r="K4" s="996"/>
      <c r="L4" s="996"/>
      <c r="M4" s="998"/>
      <c r="N4" s="166"/>
    </row>
    <row r="5" spans="2:14" ht="15.75" customHeight="1">
      <c r="B5" s="109"/>
      <c r="C5" s="4">
        <v>446800000</v>
      </c>
      <c r="D5" s="4" t="s">
        <v>248</v>
      </c>
      <c r="I5" s="996"/>
      <c r="J5" s="996"/>
      <c r="K5" s="996"/>
      <c r="L5" s="996"/>
      <c r="M5" s="998"/>
    </row>
    <row r="6" spans="2:14" ht="15.75" customHeight="1">
      <c r="B6" s="109"/>
      <c r="C6" s="4" t="s">
        <v>249</v>
      </c>
      <c r="I6" s="996"/>
      <c r="J6" s="996"/>
      <c r="K6" s="996"/>
      <c r="L6" s="996"/>
      <c r="M6" s="998"/>
    </row>
    <row r="7" spans="2:14" ht="15.75" customHeight="1">
      <c r="B7" s="109"/>
      <c r="I7" s="996"/>
      <c r="J7" s="996"/>
      <c r="K7" s="996"/>
      <c r="L7" s="996"/>
      <c r="M7" s="998"/>
    </row>
    <row r="8" spans="2:14" ht="15.75" customHeight="1">
      <c r="B8" s="109"/>
      <c r="C8" s="155">
        <v>750117000</v>
      </c>
      <c r="D8" s="4" t="s">
        <v>250</v>
      </c>
      <c r="I8" s="996"/>
      <c r="J8" s="996"/>
      <c r="K8" s="996"/>
      <c r="L8" s="996"/>
      <c r="M8" s="998"/>
    </row>
    <row r="9" spans="2:14" ht="15.75" customHeight="1">
      <c r="B9" s="109"/>
      <c r="C9" s="170">
        <v>159332000</v>
      </c>
      <c r="D9" s="4" t="s">
        <v>251</v>
      </c>
      <c r="I9" s="996"/>
      <c r="J9" s="996"/>
      <c r="K9" s="996"/>
      <c r="L9" s="996"/>
      <c r="M9" s="998"/>
    </row>
    <row r="10" spans="2:14" ht="15.75" customHeight="1">
      <c r="B10" s="109"/>
      <c r="I10" s="166"/>
      <c r="J10" s="166"/>
      <c r="K10" s="166"/>
      <c r="L10" s="166"/>
      <c r="M10" s="171"/>
    </row>
    <row r="11" spans="2:14" ht="15.75" customHeight="1">
      <c r="B11" s="109"/>
      <c r="F11" s="4" t="s">
        <v>252</v>
      </c>
      <c r="I11" s="150">
        <v>8600000</v>
      </c>
      <c r="J11" s="150" t="s">
        <v>154</v>
      </c>
      <c r="K11" s="4" t="s">
        <v>253</v>
      </c>
      <c r="M11" s="110"/>
    </row>
    <row r="12" spans="2:14" ht="15.75" customHeight="1">
      <c r="B12" s="109"/>
      <c r="C12" s="34">
        <f>C9/C8</f>
        <v>0.21240953077986502</v>
      </c>
      <c r="D12" s="4" t="s">
        <v>254</v>
      </c>
      <c r="I12">
        <f>I11*L12</f>
        <v>4300000</v>
      </c>
      <c r="J12" s="4" t="s">
        <v>255</v>
      </c>
      <c r="K12" s="4" t="s">
        <v>256</v>
      </c>
      <c r="L12" s="4">
        <v>0.5</v>
      </c>
      <c r="M12" s="110"/>
    </row>
    <row r="13" spans="2:14" ht="15.75" customHeight="1">
      <c r="B13" s="113"/>
      <c r="C13" s="114"/>
      <c r="D13" s="114"/>
      <c r="E13" s="114"/>
      <c r="F13" s="114"/>
      <c r="G13" s="114"/>
      <c r="H13" s="114"/>
      <c r="I13" s="150">
        <f>I12/E2</f>
        <v>0.28807520075826754</v>
      </c>
      <c r="J13" s="150" t="s">
        <v>258</v>
      </c>
      <c r="L13" s="114"/>
      <c r="M13" s="115"/>
    </row>
    <row r="16" spans="2:14" ht="15.75" customHeight="1">
      <c r="B16" s="105">
        <v>2010</v>
      </c>
      <c r="C16" s="107"/>
      <c r="D16" s="173">
        <v>2978574</v>
      </c>
      <c r="E16" s="174">
        <v>20328787</v>
      </c>
      <c r="F16" s="175">
        <v>2.992</v>
      </c>
      <c r="G16" s="176">
        <f>F16*E16</f>
        <v>60823730.703999996</v>
      </c>
      <c r="H16" s="107"/>
      <c r="I16" s="107"/>
      <c r="J16" s="107"/>
      <c r="K16" s="107"/>
      <c r="L16" s="107"/>
      <c r="M16" s="107"/>
      <c r="N16" s="108"/>
    </row>
    <row r="17" spans="2:23" ht="15.75" customHeight="1">
      <c r="B17" s="109"/>
      <c r="I17">
        <f>52800+54000</f>
        <v>106800</v>
      </c>
      <c r="J17" s="4" t="s">
        <v>259</v>
      </c>
      <c r="L17" s="4" t="s">
        <v>258</v>
      </c>
      <c r="M17">
        <f>I18/1150000</f>
        <v>1.4690819414684973E-2</v>
      </c>
      <c r="N17" s="110"/>
      <c r="O17" s="73" t="s">
        <v>107</v>
      </c>
      <c r="R17" s="4">
        <v>0.5</v>
      </c>
      <c r="T17" s="73" t="s">
        <v>107</v>
      </c>
      <c r="W17" s="4">
        <v>1.5</v>
      </c>
    </row>
    <row r="18" spans="2:23" ht="15.75" customHeight="1">
      <c r="B18" s="109"/>
      <c r="C18" s="155">
        <v>967000</v>
      </c>
      <c r="D18" s="4" t="s">
        <v>247</v>
      </c>
      <c r="I18">
        <f>-R25-W24</f>
        <v>16894.442326887718</v>
      </c>
      <c r="J18" s="4" t="s">
        <v>255</v>
      </c>
      <c r="N18" s="110"/>
      <c r="O18" s="73" t="s">
        <v>108</v>
      </c>
      <c r="R18" s="177">
        <v>1421.1</v>
      </c>
      <c r="T18" s="73" t="s">
        <v>108</v>
      </c>
      <c r="W18" s="177">
        <v>1421.1</v>
      </c>
    </row>
    <row r="19" spans="2:23" ht="15.75" customHeight="1">
      <c r="B19" s="109"/>
      <c r="C19" s="4" t="s">
        <v>261</v>
      </c>
      <c r="E19" s="4" t="s">
        <v>262</v>
      </c>
      <c r="H19" s="997" t="s">
        <v>263</v>
      </c>
      <c r="I19" s="996"/>
      <c r="J19" s="996"/>
      <c r="K19" s="996"/>
      <c r="L19" s="996"/>
      <c r="M19" s="996"/>
      <c r="N19" s="998"/>
      <c r="O19" s="73" t="s">
        <v>109</v>
      </c>
      <c r="R19" s="4">
        <v>1.9E-3</v>
      </c>
      <c r="T19" s="73" t="s">
        <v>109</v>
      </c>
      <c r="W19" s="4">
        <v>1.9E-3</v>
      </c>
    </row>
    <row r="20" spans="2:23" ht="15.75" customHeight="1">
      <c r="B20" s="109"/>
      <c r="C20" s="54">
        <v>570600000</v>
      </c>
      <c r="D20" s="4" t="s">
        <v>264</v>
      </c>
      <c r="E20" s="4" t="s">
        <v>265</v>
      </c>
      <c r="H20" s="996"/>
      <c r="I20" s="996"/>
      <c r="J20" s="996"/>
      <c r="K20" s="996"/>
      <c r="L20" s="996"/>
      <c r="M20" s="996"/>
      <c r="N20" s="998"/>
      <c r="O20" s="73" t="s">
        <v>112</v>
      </c>
      <c r="R20" s="4">
        <v>0.17482088949999999</v>
      </c>
      <c r="T20" s="73" t="s">
        <v>112</v>
      </c>
      <c r="W20" s="4">
        <v>0.17482088949999999</v>
      </c>
    </row>
    <row r="21" spans="2:23" ht="15.75" customHeight="1">
      <c r="B21" s="109"/>
      <c r="C21" s="179">
        <v>158654000</v>
      </c>
      <c r="D21" s="180" t="s">
        <v>251</v>
      </c>
      <c r="H21" s="996"/>
      <c r="I21" s="996"/>
      <c r="J21" s="996"/>
      <c r="K21" s="996"/>
      <c r="L21" s="996"/>
      <c r="M21" s="996"/>
      <c r="N21" s="998"/>
      <c r="O21" s="73" t="s">
        <v>114</v>
      </c>
      <c r="T21" s="73" t="s">
        <v>114</v>
      </c>
    </row>
    <row r="22" spans="2:23" ht="12.5">
      <c r="B22" s="109"/>
      <c r="C22" s="181">
        <v>1167200000</v>
      </c>
      <c r="D22" s="4" t="s">
        <v>267</v>
      </c>
      <c r="H22" s="996"/>
      <c r="I22" s="996"/>
      <c r="J22" s="996"/>
      <c r="K22" s="996"/>
      <c r="L22" s="996"/>
      <c r="M22" s="996"/>
      <c r="N22" s="998"/>
      <c r="O22" s="73" t="s">
        <v>115</v>
      </c>
      <c r="R22" s="4">
        <v>1200</v>
      </c>
      <c r="T22" s="73" t="s">
        <v>115</v>
      </c>
      <c r="W22" s="4">
        <v>1250</v>
      </c>
    </row>
    <row r="23" spans="2:23" ht="12.5">
      <c r="B23" s="109"/>
      <c r="H23" s="996"/>
      <c r="I23" s="996"/>
      <c r="J23" s="996"/>
      <c r="K23" s="996"/>
      <c r="L23" s="996"/>
      <c r="M23" s="996"/>
      <c r="N23" s="998"/>
      <c r="O23" s="4" t="s">
        <v>268</v>
      </c>
      <c r="R23" s="73">
        <v>-7.5906215216198225E-2</v>
      </c>
      <c r="T23" s="4" t="s">
        <v>268</v>
      </c>
      <c r="W23" s="73">
        <v>-0.23864063265689725</v>
      </c>
    </row>
    <row r="24" spans="2:23" ht="13">
      <c r="B24" s="109"/>
      <c r="F24" s="182"/>
      <c r="H24" s="996"/>
      <c r="I24" s="996"/>
      <c r="J24" s="996"/>
      <c r="K24" s="996"/>
      <c r="L24" s="996"/>
      <c r="M24" s="996"/>
      <c r="N24" s="998"/>
      <c r="Q24" s="4" t="s">
        <v>255</v>
      </c>
      <c r="V24" s="4" t="s">
        <v>255</v>
      </c>
      <c r="W24">
        <f>W23*54000</f>
        <v>-12886.594163472451</v>
      </c>
    </row>
    <row r="25" spans="2:23" ht="12.5">
      <c r="B25" s="109"/>
      <c r="C25" s="34">
        <f>C21/C22</f>
        <v>0.13592700479780673</v>
      </c>
      <c r="D25" s="4" t="s">
        <v>254</v>
      </c>
      <c r="N25" s="110"/>
      <c r="R25" s="34">
        <f>52800*R23</f>
        <v>-4007.8481634152663</v>
      </c>
    </row>
    <row r="26" spans="2:23" ht="12.5">
      <c r="B26" s="113"/>
      <c r="C26" s="114"/>
      <c r="D26" s="114"/>
      <c r="E26" s="114"/>
      <c r="F26" s="114"/>
      <c r="G26" s="114"/>
      <c r="H26" s="122" t="s">
        <v>271</v>
      </c>
      <c r="I26" s="114"/>
      <c r="J26" s="114"/>
      <c r="K26" s="114"/>
      <c r="L26" s="114"/>
      <c r="M26" s="114"/>
      <c r="N26" s="115"/>
    </row>
    <row r="28" spans="2:23" ht="12.5">
      <c r="O28" s="167" t="s">
        <v>272</v>
      </c>
      <c r="T28" s="167" t="s">
        <v>273</v>
      </c>
    </row>
    <row r="29" spans="2:23" ht="12.5">
      <c r="B29" s="105">
        <v>2011</v>
      </c>
      <c r="C29" s="106" t="s">
        <v>274</v>
      </c>
      <c r="D29" s="173">
        <v>2368153</v>
      </c>
      <c r="E29" s="173">
        <v>16162660</v>
      </c>
      <c r="F29" s="175">
        <v>3.84</v>
      </c>
      <c r="G29" s="107">
        <f t="shared" ref="G29:G31" si="0">F29*E29</f>
        <v>62064614.399999999</v>
      </c>
      <c r="H29" s="107"/>
      <c r="I29" s="999" t="s">
        <v>276</v>
      </c>
      <c r="J29" s="1000"/>
      <c r="K29" s="1000"/>
      <c r="L29" s="1000"/>
      <c r="M29" s="1000"/>
      <c r="N29" s="1001"/>
      <c r="O29" s="4" t="s">
        <v>278</v>
      </c>
      <c r="T29" s="4" t="s">
        <v>279</v>
      </c>
    </row>
    <row r="30" spans="2:23" ht="12.5">
      <c r="B30" s="109"/>
      <c r="C30" s="4" t="s">
        <v>280</v>
      </c>
      <c r="D30" s="155">
        <v>51679</v>
      </c>
      <c r="E30" s="4">
        <v>392220</v>
      </c>
      <c r="F30" s="33">
        <v>3.53</v>
      </c>
      <c r="G30">
        <f t="shared" si="0"/>
        <v>1384536.5999999999</v>
      </c>
      <c r="I30" s="996"/>
      <c r="J30" s="996"/>
      <c r="K30" s="996"/>
      <c r="L30" s="996"/>
      <c r="M30" s="996"/>
      <c r="N30" s="998"/>
      <c r="O30" s="4">
        <v>0.20235941800000001</v>
      </c>
      <c r="P30" s="4" t="s">
        <v>281</v>
      </c>
      <c r="T30" s="4">
        <v>0.27155000350000003</v>
      </c>
      <c r="U30" s="4" t="s">
        <v>282</v>
      </c>
    </row>
    <row r="31" spans="2:23" ht="15.5">
      <c r="B31" s="109"/>
      <c r="C31" s="4" t="s">
        <v>283</v>
      </c>
      <c r="D31" s="155">
        <v>1125983</v>
      </c>
      <c r="E31" s="4">
        <v>7684841</v>
      </c>
      <c r="F31" s="95">
        <v>2.95</v>
      </c>
      <c r="G31" s="183">
        <f t="shared" si="0"/>
        <v>22670280.950000003</v>
      </c>
      <c r="I31" s="996"/>
      <c r="J31" s="996"/>
      <c r="K31" s="996"/>
      <c r="L31" s="996"/>
      <c r="M31" s="996"/>
      <c r="N31" s="998"/>
      <c r="O31" s="4">
        <v>2.9350000000000001</v>
      </c>
      <c r="P31" s="4" t="s">
        <v>284</v>
      </c>
      <c r="R31">
        <f>(2.55+2.99)/2</f>
        <v>2.77</v>
      </c>
    </row>
    <row r="32" spans="2:23" ht="12.5">
      <c r="B32" s="109"/>
      <c r="C32" s="4" t="s">
        <v>285</v>
      </c>
      <c r="D32" s="184">
        <f t="shared" ref="D32:E32" si="1">D31+D30+D29</f>
        <v>3545815</v>
      </c>
      <c r="E32" s="185">
        <f t="shared" si="1"/>
        <v>24239721</v>
      </c>
      <c r="G32" s="165">
        <f>G31+G30+G29</f>
        <v>86119431.950000003</v>
      </c>
      <c r="J32" s="54">
        <f>J37/E32</f>
        <v>0.82484516301034339</v>
      </c>
      <c r="K32" s="4" t="s">
        <v>258</v>
      </c>
      <c r="N32" s="110"/>
    </row>
    <row r="33" spans="2:23" ht="13">
      <c r="B33" s="109"/>
      <c r="J33" s="186">
        <v>548800</v>
      </c>
      <c r="K33" s="4" t="s">
        <v>287</v>
      </c>
      <c r="N33" s="110"/>
    </row>
    <row r="34" spans="2:23" ht="18">
      <c r="B34" s="109"/>
      <c r="J34" s="187">
        <v>23049600</v>
      </c>
      <c r="K34" s="4" t="s">
        <v>171</v>
      </c>
      <c r="N34" s="110"/>
      <c r="O34" s="73" t="s">
        <v>107</v>
      </c>
      <c r="R34" s="4">
        <v>0.5</v>
      </c>
      <c r="T34" s="73" t="s">
        <v>107</v>
      </c>
      <c r="W34" s="73">
        <v>0.5</v>
      </c>
    </row>
    <row r="35" spans="2:23" ht="12.5">
      <c r="B35" s="109"/>
      <c r="C35" s="67">
        <v>972000</v>
      </c>
      <c r="D35" s="4" t="s">
        <v>288</v>
      </c>
      <c r="N35" s="110"/>
      <c r="O35" s="73" t="s">
        <v>108</v>
      </c>
      <c r="R35" s="73">
        <f>O31</f>
        <v>2.9350000000000001</v>
      </c>
      <c r="T35" s="73" t="s">
        <v>108</v>
      </c>
      <c r="W35" s="4">
        <v>98.83</v>
      </c>
    </row>
    <row r="36" spans="2:23" ht="12.5">
      <c r="B36" s="109"/>
      <c r="C36" s="155">
        <v>896000</v>
      </c>
      <c r="D36" s="4" t="s">
        <v>290</v>
      </c>
      <c r="J36" s="4" t="s">
        <v>255</v>
      </c>
      <c r="N36" s="110"/>
      <c r="O36" s="73" t="s">
        <v>109</v>
      </c>
      <c r="R36" s="4">
        <v>0.06</v>
      </c>
      <c r="T36" s="73" t="s">
        <v>109</v>
      </c>
      <c r="W36" s="73">
        <v>0.06</v>
      </c>
    </row>
    <row r="37" spans="2:23" ht="13">
      <c r="B37" s="109"/>
      <c r="C37" s="188">
        <v>914818</v>
      </c>
      <c r="D37" s="4" t="s">
        <v>264</v>
      </c>
      <c r="J37" s="34">
        <f>R43+W43</f>
        <v>19994016.619570244</v>
      </c>
      <c r="N37" s="110"/>
      <c r="O37" s="73" t="s">
        <v>112</v>
      </c>
      <c r="R37" s="73">
        <f>O30</f>
        <v>0.20235941800000001</v>
      </c>
      <c r="T37" s="73" t="s">
        <v>112</v>
      </c>
      <c r="W37" s="4">
        <v>0.27155000350000003</v>
      </c>
    </row>
    <row r="38" spans="2:23" ht="13">
      <c r="B38" s="109"/>
      <c r="C38" s="182"/>
      <c r="N38" s="110"/>
      <c r="O38" s="73" t="s">
        <v>114</v>
      </c>
      <c r="R38">
        <v>2.77</v>
      </c>
      <c r="T38" s="73" t="s">
        <v>114</v>
      </c>
      <c r="W38" s="4">
        <v>82.5</v>
      </c>
    </row>
    <row r="39" spans="2:23" ht="12.5">
      <c r="B39" s="109"/>
      <c r="C39" s="179">
        <v>1673187</v>
      </c>
      <c r="D39" s="4" t="s">
        <v>291</v>
      </c>
      <c r="F39" s="4" t="s">
        <v>292</v>
      </c>
      <c r="N39" s="110"/>
      <c r="O39" s="73" t="s">
        <v>115</v>
      </c>
      <c r="R39" s="73">
        <v>40</v>
      </c>
      <c r="T39" s="73" t="s">
        <v>115</v>
      </c>
      <c r="W39" s="73">
        <v>40</v>
      </c>
    </row>
    <row r="40" spans="2:23" ht="12.5">
      <c r="B40" s="109"/>
      <c r="C40" s="170">
        <v>177771</v>
      </c>
      <c r="D40" s="4" t="s">
        <v>251</v>
      </c>
      <c r="F40" s="4" t="s">
        <v>262</v>
      </c>
      <c r="N40" s="110"/>
      <c r="Q40" s="4" t="s">
        <v>125</v>
      </c>
      <c r="R40" s="73">
        <v>0.74119675239631688</v>
      </c>
      <c r="V40" s="4" t="s">
        <v>125</v>
      </c>
      <c r="W40" s="73">
        <v>0.89392875644520098</v>
      </c>
    </row>
    <row r="41" spans="2:23" ht="12.5">
      <c r="B41" s="113"/>
      <c r="C41" s="189">
        <f>C40/C39</f>
        <v>0.106246940718521</v>
      </c>
      <c r="D41" s="122" t="s">
        <v>254</v>
      </c>
      <c r="E41" s="114"/>
      <c r="F41" s="114"/>
      <c r="G41" s="114"/>
      <c r="H41" s="114"/>
      <c r="I41" s="114"/>
      <c r="J41" s="114"/>
      <c r="K41" s="114"/>
      <c r="L41" s="114"/>
      <c r="M41" s="114"/>
      <c r="N41" s="115"/>
      <c r="R41" s="170">
        <v>95200</v>
      </c>
      <c r="S41" s="4" t="s">
        <v>287</v>
      </c>
      <c r="V41" s="4" t="s">
        <v>287</v>
      </c>
      <c r="W41" s="155">
        <v>453600</v>
      </c>
    </row>
    <row r="42" spans="2:23" ht="18">
      <c r="R42" s="187">
        <v>3998400</v>
      </c>
      <c r="S42" s="4" t="s">
        <v>154</v>
      </c>
      <c r="V42" s="4" t="s">
        <v>154</v>
      </c>
      <c r="W42" s="4">
        <v>19051200</v>
      </c>
    </row>
    <row r="43" spans="2:23" ht="12.5">
      <c r="Q43" s="4" t="s">
        <v>255</v>
      </c>
      <c r="R43" s="34">
        <f>R42*R40</f>
        <v>2963601.0947814332</v>
      </c>
      <c r="V43" s="4" t="s">
        <v>255</v>
      </c>
      <c r="W43" s="34">
        <f>W42*W40</f>
        <v>17030415.524788812</v>
      </c>
    </row>
    <row r="45" spans="2:23" ht="12.5">
      <c r="B45" s="105">
        <v>2012</v>
      </c>
      <c r="C45" s="106" t="s">
        <v>274</v>
      </c>
      <c r="D45" s="190">
        <v>2761290</v>
      </c>
      <c r="E45" s="106">
        <v>18845823</v>
      </c>
      <c r="F45" s="175">
        <v>3.968</v>
      </c>
      <c r="G45" s="107">
        <f t="shared" ref="G45:G47" si="2">F45*E45</f>
        <v>74780225.664000005</v>
      </c>
      <c r="H45" s="107"/>
      <c r="I45" s="107"/>
      <c r="J45" s="107"/>
      <c r="L45" s="167" t="s">
        <v>294</v>
      </c>
    </row>
    <row r="46" spans="2:23" ht="12.5">
      <c r="B46" s="109"/>
      <c r="C46" s="4" t="s">
        <v>280</v>
      </c>
      <c r="D46" s="191">
        <v>11757</v>
      </c>
      <c r="E46" s="4">
        <v>89230</v>
      </c>
      <c r="F46" s="29">
        <v>3.64</v>
      </c>
      <c r="G46">
        <f t="shared" si="2"/>
        <v>324797.2</v>
      </c>
      <c r="L46" s="4">
        <v>91.82</v>
      </c>
      <c r="M46" s="4" t="s">
        <v>284</v>
      </c>
    </row>
    <row r="47" spans="2:23" ht="15.5">
      <c r="B47" s="109"/>
      <c r="C47" s="4" t="s">
        <v>283</v>
      </c>
      <c r="D47" s="191">
        <v>1425774</v>
      </c>
      <c r="E47" s="4">
        <v>9730917</v>
      </c>
      <c r="F47" s="95">
        <v>3.02</v>
      </c>
      <c r="G47" s="183">
        <f t="shared" si="2"/>
        <v>29387369.34</v>
      </c>
      <c r="L47" s="4">
        <v>0.24669219980000001</v>
      </c>
      <c r="M47" s="4" t="s">
        <v>282</v>
      </c>
    </row>
    <row r="48" spans="2:23" ht="12.5">
      <c r="B48" s="109"/>
      <c r="C48" s="4" t="s">
        <v>285</v>
      </c>
      <c r="D48" s="192"/>
      <c r="E48" s="163">
        <f>SUM(E45:E47)</f>
        <v>28665970</v>
      </c>
      <c r="F48" s="192"/>
      <c r="G48" s="165">
        <f>G47+G46+G45</f>
        <v>104492392.204</v>
      </c>
      <c r="L48" s="73" t="s">
        <v>107</v>
      </c>
      <c r="O48" s="73">
        <v>0.5</v>
      </c>
    </row>
    <row r="49" spans="2:20" ht="12.5">
      <c r="B49" s="109"/>
      <c r="D49" s="192"/>
      <c r="E49" s="192"/>
      <c r="F49" s="192"/>
      <c r="L49" s="73" t="s">
        <v>108</v>
      </c>
      <c r="O49" s="73">
        <f>L46</f>
        <v>91.82</v>
      </c>
    </row>
    <row r="50" spans="2:20" ht="13">
      <c r="B50" s="109"/>
      <c r="C50" s="193" t="s">
        <v>296</v>
      </c>
      <c r="D50" s="195">
        <v>1670</v>
      </c>
      <c r="E50" s="180" t="s">
        <v>267</v>
      </c>
      <c r="F50" s="192"/>
      <c r="J50" s="196" t="s">
        <v>297</v>
      </c>
      <c r="L50" s="197" t="s">
        <v>109</v>
      </c>
      <c r="O50" s="4">
        <v>1.1000000000000001E-3</v>
      </c>
    </row>
    <row r="51" spans="2:20" ht="13">
      <c r="B51" s="109"/>
      <c r="D51" s="198">
        <v>948</v>
      </c>
      <c r="E51" s="4" t="s">
        <v>298</v>
      </c>
      <c r="F51" s="192"/>
      <c r="J51" s="4" t="s">
        <v>262</v>
      </c>
      <c r="L51" s="73" t="s">
        <v>112</v>
      </c>
      <c r="O51" s="73">
        <f>L47</f>
        <v>0.24669219980000001</v>
      </c>
    </row>
    <row r="52" spans="2:20" ht="13">
      <c r="B52" s="109"/>
      <c r="D52" s="199">
        <v>190.5</v>
      </c>
      <c r="E52" s="4" t="s">
        <v>299</v>
      </c>
      <c r="F52" s="192"/>
      <c r="H52" s="4" t="s">
        <v>300</v>
      </c>
      <c r="J52">
        <f>(875+950)/2</f>
        <v>912.5</v>
      </c>
      <c r="L52" s="73" t="s">
        <v>114</v>
      </c>
      <c r="O52" s="4">
        <v>85</v>
      </c>
    </row>
    <row r="53" spans="2:20" ht="12.5">
      <c r="B53" s="109"/>
      <c r="D53" s="163">
        <f>D52/D50</f>
        <v>0.11407185628742515</v>
      </c>
      <c r="E53" s="4" t="s">
        <v>254</v>
      </c>
      <c r="F53" s="192"/>
      <c r="H53" s="4" t="s">
        <v>252</v>
      </c>
      <c r="L53" s="73" t="s">
        <v>115</v>
      </c>
      <c r="O53" s="73">
        <v>40</v>
      </c>
    </row>
    <row r="54" spans="2:20" ht="12.5">
      <c r="B54" s="109"/>
      <c r="D54" s="192"/>
      <c r="E54" s="192"/>
      <c r="F54" s="192"/>
      <c r="N54" s="73" t="s">
        <v>125</v>
      </c>
      <c r="O54" s="73">
        <v>0.70275986390411993</v>
      </c>
    </row>
    <row r="55" spans="2:20" ht="12.5">
      <c r="B55" s="109"/>
      <c r="D55" s="155">
        <v>830000</v>
      </c>
      <c r="E55" s="4" t="s">
        <v>247</v>
      </c>
      <c r="F55" s="192"/>
      <c r="N55" s="4" t="s">
        <v>255</v>
      </c>
      <c r="O55">
        <f>O54*F58</f>
        <v>17443905.341828063</v>
      </c>
    </row>
    <row r="56" spans="2:20" ht="12.5">
      <c r="B56" s="109"/>
      <c r="D56" s="192"/>
      <c r="E56" s="192"/>
      <c r="F56" s="192"/>
      <c r="N56" s="4" t="s">
        <v>258</v>
      </c>
      <c r="O56" s="34">
        <f>O55/E48</f>
        <v>0.60852311440457318</v>
      </c>
    </row>
    <row r="57" spans="2:20" ht="13">
      <c r="B57" s="109"/>
      <c r="C57" s="201" t="s">
        <v>303</v>
      </c>
      <c r="D57" s="202"/>
      <c r="E57" s="202"/>
      <c r="F57" s="203">
        <v>591000</v>
      </c>
      <c r="G57" s="204" t="s">
        <v>287</v>
      </c>
      <c r="H57" s="150"/>
    </row>
    <row r="58" spans="2:20" ht="18">
      <c r="B58" s="109"/>
      <c r="D58" s="192"/>
      <c r="E58" s="192"/>
      <c r="F58" s="205">
        <v>24822000</v>
      </c>
      <c r="G58" s="150" t="s">
        <v>171</v>
      </c>
      <c r="H58" s="207"/>
    </row>
    <row r="59" spans="2:20" ht="12.5">
      <c r="B59" s="113"/>
      <c r="C59" s="114"/>
      <c r="D59" s="208"/>
      <c r="E59" s="208"/>
      <c r="F59" s="208"/>
      <c r="G59" s="114"/>
      <c r="H59" s="114"/>
      <c r="I59" s="114"/>
      <c r="J59" s="114"/>
      <c r="N59" s="1002" t="s">
        <v>306</v>
      </c>
      <c r="O59" s="996"/>
      <c r="P59" s="996"/>
      <c r="Q59" s="996"/>
      <c r="R59" s="996"/>
      <c r="S59" s="996"/>
      <c r="T59" s="996"/>
    </row>
    <row r="60" spans="2:20" ht="12.5">
      <c r="D60" s="192"/>
      <c r="E60" s="192"/>
      <c r="F60" s="192"/>
      <c r="N60" s="996"/>
      <c r="O60" s="996"/>
      <c r="P60" s="996"/>
      <c r="Q60" s="996"/>
      <c r="R60" s="996"/>
      <c r="S60" s="996"/>
      <c r="T60" s="996"/>
    </row>
    <row r="61" spans="2:20" ht="12.5">
      <c r="B61" s="105">
        <v>2013</v>
      </c>
      <c r="C61" s="106" t="s">
        <v>274</v>
      </c>
      <c r="D61" s="210">
        <v>3371892</v>
      </c>
      <c r="E61" s="106">
        <v>23013185</v>
      </c>
      <c r="F61" s="175">
        <v>3.9220000000000002</v>
      </c>
      <c r="G61" s="107">
        <f t="shared" ref="G61:G63" si="3">F61*E61</f>
        <v>90257711.570000008</v>
      </c>
      <c r="H61" s="107"/>
      <c r="I61" s="107"/>
      <c r="J61" s="107"/>
      <c r="K61" s="107"/>
      <c r="L61" s="108"/>
      <c r="N61" s="996"/>
      <c r="O61" s="996"/>
      <c r="P61" s="996"/>
      <c r="Q61" s="996"/>
      <c r="R61" s="996"/>
      <c r="S61" s="996"/>
      <c r="T61" s="996"/>
    </row>
    <row r="62" spans="2:20" ht="12.5">
      <c r="B62" s="109"/>
      <c r="C62" s="4" t="s">
        <v>280</v>
      </c>
      <c r="D62" s="212">
        <v>9318</v>
      </c>
      <c r="E62" s="4">
        <v>70719</v>
      </c>
      <c r="F62" s="33">
        <v>3.53</v>
      </c>
      <c r="G62">
        <f t="shared" si="3"/>
        <v>249638.06999999998</v>
      </c>
      <c r="L62" s="110"/>
    </row>
    <row r="63" spans="2:20" ht="15.5">
      <c r="B63" s="109"/>
      <c r="C63" s="4" t="s">
        <v>283</v>
      </c>
      <c r="D63" s="212">
        <v>1203326</v>
      </c>
      <c r="E63" s="4">
        <v>8212708</v>
      </c>
      <c r="F63" s="95">
        <v>2.92</v>
      </c>
      <c r="G63" s="183">
        <f t="shared" si="3"/>
        <v>23981107.359999999</v>
      </c>
      <c r="L63" s="110"/>
      <c r="N63" s="4">
        <v>98.42</v>
      </c>
      <c r="O63" s="73" t="s">
        <v>284</v>
      </c>
    </row>
    <row r="64" spans="2:20" ht="12.5">
      <c r="B64" s="109"/>
      <c r="C64" s="4" t="s">
        <v>285</v>
      </c>
      <c r="D64" s="192"/>
      <c r="E64" s="163">
        <f>SUM(E61:E63)</f>
        <v>31296612</v>
      </c>
      <c r="F64" s="192"/>
      <c r="G64" s="165">
        <f>G63+G62+G61</f>
        <v>114488457</v>
      </c>
      <c r="L64" s="110"/>
      <c r="N64" s="4">
        <v>0.15167496059999999</v>
      </c>
      <c r="O64" s="73" t="s">
        <v>282</v>
      </c>
    </row>
    <row r="65" spans="2:19" ht="12.5">
      <c r="B65" s="109"/>
      <c r="D65" s="192"/>
      <c r="E65" s="192"/>
      <c r="F65" s="192"/>
      <c r="L65" s="110"/>
      <c r="N65" s="73" t="s">
        <v>107</v>
      </c>
      <c r="Q65" s="73">
        <v>0.5</v>
      </c>
    </row>
    <row r="66" spans="2:19" ht="13">
      <c r="B66" s="109"/>
      <c r="C66" s="213" t="s">
        <v>296</v>
      </c>
      <c r="D66" s="195">
        <v>1147.0999999999999</v>
      </c>
      <c r="E66" s="213" t="s">
        <v>250</v>
      </c>
      <c r="F66" s="192"/>
      <c r="L66" s="110"/>
      <c r="N66" s="73" t="s">
        <v>108</v>
      </c>
      <c r="Q66" s="73">
        <f>N63</f>
        <v>98.42</v>
      </c>
    </row>
    <row r="67" spans="2:19" ht="13">
      <c r="B67" s="109"/>
      <c r="D67" s="214">
        <v>807000000</v>
      </c>
      <c r="E67" s="215" t="s">
        <v>298</v>
      </c>
      <c r="F67" s="192"/>
      <c r="G67" s="1002" t="s">
        <v>309</v>
      </c>
      <c r="H67" s="996"/>
      <c r="I67" s="996"/>
      <c r="J67" s="996"/>
      <c r="K67" s="996"/>
      <c r="L67" s="998"/>
      <c r="N67" s="73" t="s">
        <v>109</v>
      </c>
      <c r="Q67" s="4">
        <v>1E-3</v>
      </c>
    </row>
    <row r="68" spans="2:19" ht="13">
      <c r="B68" s="109"/>
      <c r="D68" s="199">
        <v>199.6</v>
      </c>
      <c r="E68" s="4" t="s">
        <v>251</v>
      </c>
      <c r="F68" s="192"/>
      <c r="G68" s="996"/>
      <c r="H68" s="996"/>
      <c r="I68" s="996"/>
      <c r="J68" s="996"/>
      <c r="K68" s="996"/>
      <c r="L68" s="998"/>
      <c r="N68" s="73" t="s">
        <v>112</v>
      </c>
      <c r="Q68" s="73">
        <f>N64</f>
        <v>0.15167496059999999</v>
      </c>
    </row>
    <row r="69" spans="2:19" ht="12.5">
      <c r="B69" s="109"/>
      <c r="D69" s="163">
        <f>D68/D66</f>
        <v>0.1740040101124575</v>
      </c>
      <c r="E69" s="4" t="s">
        <v>254</v>
      </c>
      <c r="F69" s="192"/>
      <c r="G69" s="996"/>
      <c r="H69" s="996"/>
      <c r="I69" s="996"/>
      <c r="J69" s="996"/>
      <c r="K69" s="996"/>
      <c r="L69" s="998"/>
      <c r="N69" s="73" t="s">
        <v>114</v>
      </c>
      <c r="Q69" s="4">
        <v>84.5</v>
      </c>
    </row>
    <row r="70" spans="2:19" ht="12.5">
      <c r="B70" s="109"/>
      <c r="D70" s="192"/>
      <c r="E70" s="192"/>
      <c r="F70" s="192"/>
      <c r="L70" s="110"/>
      <c r="N70" s="73" t="s">
        <v>115</v>
      </c>
      <c r="Q70" s="73">
        <v>40</v>
      </c>
    </row>
    <row r="71" spans="2:19" ht="12.5">
      <c r="B71" s="109"/>
      <c r="D71" s="67">
        <v>835000</v>
      </c>
      <c r="E71" s="4" t="s">
        <v>311</v>
      </c>
      <c r="F71" s="192"/>
      <c r="G71" s="4" t="s">
        <v>252</v>
      </c>
      <c r="I71" s="216">
        <v>600000</v>
      </c>
      <c r="J71" s="4" t="s">
        <v>312</v>
      </c>
      <c r="L71" s="110"/>
      <c r="P71" s="73" t="s">
        <v>125</v>
      </c>
      <c r="Q71" s="73">
        <v>0.9307335845398772</v>
      </c>
    </row>
    <row r="72" spans="2:19" ht="18">
      <c r="B72" s="109"/>
      <c r="C72">
        <f>(835+900)/2</f>
        <v>867.5</v>
      </c>
      <c r="D72" s="4" t="s">
        <v>313</v>
      </c>
      <c r="E72" s="4" t="s">
        <v>262</v>
      </c>
      <c r="F72" s="192"/>
      <c r="G72" s="4" t="s">
        <v>314</v>
      </c>
      <c r="I72" s="217">
        <v>25200000</v>
      </c>
      <c r="J72" s="4" t="s">
        <v>171</v>
      </c>
      <c r="L72" s="110"/>
      <c r="P72" s="73" t="s">
        <v>255</v>
      </c>
      <c r="Q72">
        <f>I72*Q71</f>
        <v>23454486.330404904</v>
      </c>
    </row>
    <row r="73" spans="2:19" ht="12.5">
      <c r="B73" s="113"/>
      <c r="C73" s="114"/>
      <c r="D73" s="208"/>
      <c r="E73" s="208"/>
      <c r="F73" s="208"/>
      <c r="G73" s="114"/>
      <c r="H73" s="114"/>
      <c r="I73" s="218"/>
      <c r="J73" s="122"/>
      <c r="K73" s="114"/>
      <c r="L73" s="115"/>
      <c r="P73" s="73" t="s">
        <v>258</v>
      </c>
      <c r="Q73" s="34">
        <f>Q72/E64</f>
        <v>0.74942573114319544</v>
      </c>
    </row>
    <row r="74" spans="2:19" ht="12.5">
      <c r="D74" s="192"/>
      <c r="E74" s="192"/>
      <c r="F74" s="192"/>
      <c r="P74" s="4"/>
      <c r="Q74" s="4"/>
      <c r="R74" s="4"/>
    </row>
    <row r="75" spans="2:19" ht="12.5">
      <c r="D75" s="192"/>
      <c r="E75" s="192"/>
      <c r="F75" s="192"/>
      <c r="P75" s="4" t="s">
        <v>316</v>
      </c>
      <c r="Q75" s="4" t="s">
        <v>317</v>
      </c>
      <c r="R75" s="4" t="s">
        <v>318</v>
      </c>
    </row>
    <row r="76" spans="2:19" ht="13">
      <c r="B76" s="105">
        <v>2014</v>
      </c>
      <c r="C76" s="106" t="s">
        <v>274</v>
      </c>
      <c r="D76" s="220">
        <v>3555748</v>
      </c>
      <c r="E76" s="173">
        <v>24268004</v>
      </c>
      <c r="F76" s="175">
        <v>3.8250000000000002</v>
      </c>
      <c r="G76" s="107">
        <f t="shared" ref="G76:G78" si="4">F76*E76</f>
        <v>92825115.299999997</v>
      </c>
      <c r="H76" s="107"/>
      <c r="I76" s="107"/>
      <c r="J76" s="107"/>
      <c r="K76" s="107"/>
      <c r="L76" s="108"/>
      <c r="M76" s="221">
        <v>53.27</v>
      </c>
      <c r="N76" s="4" t="s">
        <v>320</v>
      </c>
      <c r="P76" s="222">
        <v>0.25</v>
      </c>
      <c r="Q76" s="222">
        <v>0.67</v>
      </c>
      <c r="R76" s="222">
        <v>1.1000000000000001</v>
      </c>
    </row>
    <row r="77" spans="2:19" ht="13">
      <c r="B77" s="109"/>
      <c r="C77" s="4" t="s">
        <v>280</v>
      </c>
      <c r="D77" s="223">
        <v>5944</v>
      </c>
      <c r="E77" s="155">
        <v>45112</v>
      </c>
      <c r="F77" s="29">
        <v>3.37</v>
      </c>
      <c r="G77">
        <f t="shared" si="4"/>
        <v>152027.44</v>
      </c>
      <c r="L77" s="110"/>
      <c r="M77" s="4">
        <v>0.38532649619999998</v>
      </c>
      <c r="N77" s="4" t="s">
        <v>321</v>
      </c>
      <c r="P77" s="4">
        <v>85</v>
      </c>
      <c r="Q77" s="4">
        <v>81.5</v>
      </c>
      <c r="R77" s="4">
        <v>83</v>
      </c>
      <c r="S77" s="4" t="s">
        <v>322</v>
      </c>
    </row>
    <row r="78" spans="2:19" ht="15.5">
      <c r="B78" s="109"/>
      <c r="C78" s="4" t="s">
        <v>283</v>
      </c>
      <c r="D78" s="223">
        <v>2359511</v>
      </c>
      <c r="E78" s="155">
        <v>16103678</v>
      </c>
      <c r="F78" s="95">
        <v>2.69</v>
      </c>
      <c r="G78" s="183">
        <f t="shared" si="4"/>
        <v>43318893.82</v>
      </c>
      <c r="L78" s="110"/>
    </row>
    <row r="79" spans="2:19" ht="12.5">
      <c r="B79" s="109"/>
      <c r="C79" s="4" t="s">
        <v>285</v>
      </c>
      <c r="D79" s="192"/>
      <c r="E79" s="185">
        <f>SUM(E76:E78)</f>
        <v>40416794</v>
      </c>
      <c r="F79" s="192"/>
      <c r="G79" s="165">
        <f>G78+G77+G76</f>
        <v>136296036.56</v>
      </c>
      <c r="L79" s="110"/>
      <c r="M79" s="73" t="s">
        <v>107</v>
      </c>
      <c r="P79" s="4">
        <v>3</v>
      </c>
    </row>
    <row r="80" spans="2:19" ht="12.5">
      <c r="B80" s="109"/>
      <c r="D80" s="192"/>
      <c r="E80" s="192"/>
      <c r="F80" s="192"/>
      <c r="G80" s="4"/>
      <c r="H80" s="4"/>
      <c r="L80" s="110"/>
      <c r="M80" s="73" t="s">
        <v>108</v>
      </c>
      <c r="P80" s="73">
        <f>M76</f>
        <v>53.27</v>
      </c>
    </row>
    <row r="81" spans="2:27" ht="12.5">
      <c r="B81" s="109"/>
      <c r="D81" s="192"/>
      <c r="E81" s="192"/>
      <c r="F81" s="192"/>
      <c r="G81" s="4"/>
      <c r="H81" s="4"/>
      <c r="L81" s="110"/>
      <c r="M81" s="73" t="s">
        <v>109</v>
      </c>
      <c r="P81" s="4">
        <v>1.0999999999999999E-2</v>
      </c>
    </row>
    <row r="82" spans="2:27" ht="12.5">
      <c r="B82" s="109"/>
      <c r="C82" s="155">
        <v>835000</v>
      </c>
      <c r="D82" s="4" t="s">
        <v>311</v>
      </c>
      <c r="E82" s="192"/>
      <c r="F82" s="192"/>
      <c r="G82" s="4"/>
      <c r="H82" s="4"/>
      <c r="L82" s="110"/>
      <c r="M82" s="73" t="s">
        <v>112</v>
      </c>
      <c r="P82" s="73">
        <f>M77</f>
        <v>0.38532649619999998</v>
      </c>
    </row>
    <row r="83" spans="2:27" ht="13">
      <c r="B83" s="109"/>
      <c r="C83" s="224">
        <v>1007.9</v>
      </c>
      <c r="D83" s="215" t="s">
        <v>250</v>
      </c>
      <c r="E83" s="192"/>
      <c r="F83" s="192"/>
      <c r="H83" s="225"/>
      <c r="I83" s="4"/>
      <c r="L83" s="110"/>
      <c r="M83" s="73" t="s">
        <v>114</v>
      </c>
      <c r="P83" s="4">
        <v>83</v>
      </c>
    </row>
    <row r="84" spans="2:27" ht="13">
      <c r="B84" s="109"/>
      <c r="C84" s="226">
        <v>892.9</v>
      </c>
      <c r="D84" s="4" t="s">
        <v>164</v>
      </c>
      <c r="E84" s="192"/>
      <c r="F84" s="192"/>
      <c r="L84" s="110"/>
      <c r="M84" s="73" t="s">
        <v>115</v>
      </c>
      <c r="P84" s="73">
        <v>40</v>
      </c>
    </row>
    <row r="85" spans="2:27" ht="12.5">
      <c r="B85" s="109"/>
      <c r="D85" s="192"/>
      <c r="E85" s="192"/>
      <c r="F85" s="192"/>
      <c r="G85" s="227">
        <v>1080000</v>
      </c>
      <c r="H85" s="228"/>
      <c r="I85" s="227">
        <v>1101000</v>
      </c>
      <c r="J85" s="229"/>
      <c r="K85" s="227">
        <v>786000</v>
      </c>
      <c r="L85" s="110"/>
      <c r="M85" s="73" t="s">
        <v>117</v>
      </c>
      <c r="P85" s="73">
        <v>9.5711636027980093E-2</v>
      </c>
    </row>
    <row r="86" spans="2:27" ht="12.5">
      <c r="B86" s="109"/>
      <c r="C86" s="4" t="s">
        <v>327</v>
      </c>
      <c r="D86" s="192"/>
      <c r="E86" s="192"/>
      <c r="F86" s="4" t="s">
        <v>125</v>
      </c>
      <c r="G86" s="73">
        <v>0.15501771083772617</v>
      </c>
      <c r="I86" s="73">
        <v>0.31428202552446566</v>
      </c>
      <c r="K86" s="73">
        <v>0.39252922978907401</v>
      </c>
      <c r="M86" s="73" t="s">
        <v>118</v>
      </c>
    </row>
    <row r="87" spans="2:27" ht="12.5">
      <c r="B87" s="109"/>
      <c r="C87" s="4" t="s">
        <v>328</v>
      </c>
      <c r="D87" s="54">
        <v>0</v>
      </c>
      <c r="E87" s="192"/>
      <c r="F87" s="4" t="s">
        <v>255</v>
      </c>
      <c r="G87">
        <f>G86*G85</f>
        <v>167419.12770474426</v>
      </c>
      <c r="I87">
        <f>I86*I85</f>
        <v>346024.5101024367</v>
      </c>
      <c r="K87">
        <f>K86*K85</f>
        <v>308527.97461421217</v>
      </c>
      <c r="L87" s="207">
        <f>K87+I87+G87</f>
        <v>821971.61242139316</v>
      </c>
    </row>
    <row r="88" spans="2:27" ht="12.5">
      <c r="B88" s="109"/>
      <c r="D88" s="192"/>
      <c r="E88" s="192"/>
    </row>
    <row r="89" spans="2:27" ht="18">
      <c r="B89" s="109"/>
      <c r="C89" s="230" t="s">
        <v>330</v>
      </c>
      <c r="D89" s="4" t="s">
        <v>262</v>
      </c>
      <c r="E89" s="192"/>
      <c r="G89" s="231"/>
      <c r="L89" s="110"/>
    </row>
    <row r="90" spans="2:27" ht="12.5">
      <c r="B90" s="109"/>
      <c r="D90" s="192"/>
      <c r="E90" s="192"/>
      <c r="F90" s="192"/>
      <c r="G90" s="4"/>
      <c r="H90" s="4"/>
      <c r="J90" s="105" t="s">
        <v>332</v>
      </c>
      <c r="K90" s="107">
        <f>L87</f>
        <v>821971.61242139316</v>
      </c>
      <c r="L90" s="232" t="s">
        <v>287</v>
      </c>
    </row>
    <row r="91" spans="2:27" ht="18">
      <c r="B91" s="113"/>
      <c r="C91" s="114"/>
      <c r="D91" s="208"/>
      <c r="E91" s="208"/>
      <c r="F91" s="192"/>
      <c r="G91" s="4" t="s">
        <v>333</v>
      </c>
      <c r="H91" s="4"/>
      <c r="J91" s="109"/>
      <c r="K91" s="217">
        <v>34522783</v>
      </c>
      <c r="L91" s="233" t="s">
        <v>171</v>
      </c>
    </row>
    <row r="92" spans="2:27" ht="12.5">
      <c r="D92" s="192"/>
      <c r="E92" s="192"/>
      <c r="F92" s="192"/>
      <c r="G92" s="4"/>
      <c r="H92" s="4"/>
      <c r="J92" s="113"/>
      <c r="K92" s="234">
        <f>K91/E79</f>
        <v>0.85416925944200328</v>
      </c>
      <c r="L92" s="115"/>
    </row>
    <row r="93" spans="2:27" ht="12.5">
      <c r="D93" s="192"/>
      <c r="E93" s="192"/>
      <c r="F93" s="192"/>
      <c r="G93" s="4"/>
      <c r="H93" s="4"/>
    </row>
    <row r="94" spans="2:27" ht="12.5">
      <c r="D94" s="192"/>
      <c r="E94" s="192"/>
      <c r="F94" s="192"/>
      <c r="G94" s="4"/>
      <c r="H94" s="4"/>
    </row>
    <row r="95" spans="2:27" ht="12.5">
      <c r="D95" s="192"/>
      <c r="E95" s="192"/>
      <c r="F95" s="192"/>
      <c r="G95" s="4" t="s">
        <v>285</v>
      </c>
      <c r="H95" s="4" t="s">
        <v>171</v>
      </c>
    </row>
    <row r="96" spans="2:27" ht="12.5">
      <c r="B96" s="105">
        <v>2015</v>
      </c>
      <c r="C96" s="106" t="s">
        <v>274</v>
      </c>
      <c r="D96" s="235">
        <v>2031923</v>
      </c>
      <c r="E96" s="235">
        <v>1333238</v>
      </c>
      <c r="F96" s="235">
        <v>97487</v>
      </c>
      <c r="G96" s="107">
        <f t="shared" ref="G96:G98" si="5">F96+E96+D96</f>
        <v>3462648</v>
      </c>
      <c r="H96" s="106">
        <v>23632596</v>
      </c>
      <c r="I96" s="175">
        <v>2.7069999999999999</v>
      </c>
      <c r="J96" s="107">
        <f t="shared" ref="J96:J98" si="6">I96*H96</f>
        <v>63973437.371999994</v>
      </c>
      <c r="K96" s="108"/>
      <c r="S96" s="105" t="s">
        <v>336</v>
      </c>
      <c r="T96" s="107"/>
      <c r="U96" s="107"/>
      <c r="V96" s="108"/>
      <c r="X96" s="105" t="s">
        <v>337</v>
      </c>
      <c r="Y96" s="106" t="s">
        <v>338</v>
      </c>
      <c r="Z96" s="107"/>
      <c r="AA96" s="108"/>
    </row>
    <row r="97" spans="1:27" ht="12.5">
      <c r="B97" s="109"/>
      <c r="C97" s="4" t="s">
        <v>280</v>
      </c>
      <c r="D97" s="237">
        <v>1204</v>
      </c>
      <c r="E97" s="237">
        <v>804</v>
      </c>
      <c r="F97" s="237">
        <v>2756</v>
      </c>
      <c r="G97">
        <f t="shared" si="5"/>
        <v>4764</v>
      </c>
      <c r="H97" s="4">
        <v>36156</v>
      </c>
      <c r="I97" s="33">
        <v>2.4500000000000002</v>
      </c>
      <c r="J97">
        <f t="shared" si="6"/>
        <v>88582.200000000012</v>
      </c>
      <c r="K97" s="110"/>
      <c r="L97" s="139"/>
      <c r="M97" s="107"/>
      <c r="N97" s="106" t="s">
        <v>340</v>
      </c>
      <c r="O97" s="106"/>
      <c r="P97" s="107"/>
      <c r="Q97" s="108"/>
      <c r="S97" s="71" t="s">
        <v>279</v>
      </c>
      <c r="V97" s="110"/>
      <c r="X97" s="71" t="s">
        <v>279</v>
      </c>
      <c r="AA97" s="110"/>
    </row>
    <row r="98" spans="1:27" ht="15.5">
      <c r="B98" s="109"/>
      <c r="C98" s="4" t="s">
        <v>283</v>
      </c>
      <c r="D98" s="237">
        <v>2579388</v>
      </c>
      <c r="E98" s="192"/>
      <c r="F98" s="192"/>
      <c r="G98">
        <f t="shared" si="5"/>
        <v>2579388</v>
      </c>
      <c r="H98" s="4">
        <v>17604340</v>
      </c>
      <c r="I98" s="95">
        <v>1.54</v>
      </c>
      <c r="J98" s="183">
        <f t="shared" si="6"/>
        <v>27110683.600000001</v>
      </c>
      <c r="K98" s="110"/>
      <c r="L98" s="71" t="s">
        <v>107</v>
      </c>
      <c r="O98" s="4">
        <v>2</v>
      </c>
      <c r="Q98" s="110"/>
      <c r="S98" s="238" t="s">
        <v>107</v>
      </c>
      <c r="V98" s="239">
        <v>2</v>
      </c>
      <c r="X98" s="238" t="s">
        <v>107</v>
      </c>
      <c r="AA98" s="239">
        <v>2</v>
      </c>
    </row>
    <row r="99" spans="1:27" ht="12.5">
      <c r="B99" s="109"/>
      <c r="C99" s="4" t="s">
        <v>285</v>
      </c>
      <c r="D99" s="192"/>
      <c r="E99" s="192"/>
      <c r="F99" s="192"/>
      <c r="H99" s="163">
        <f>SUM(H96:H98)</f>
        <v>41273092</v>
      </c>
      <c r="J99" s="165">
        <f>J98+J97+J96</f>
        <v>91172703.171999991</v>
      </c>
      <c r="K99" s="110"/>
      <c r="L99" s="71" t="s">
        <v>108</v>
      </c>
      <c r="O99" s="240">
        <v>36.61</v>
      </c>
      <c r="Q99" s="110"/>
      <c r="S99" s="238" t="s">
        <v>108</v>
      </c>
      <c r="V99" s="241">
        <v>36.61</v>
      </c>
      <c r="X99" s="238" t="s">
        <v>108</v>
      </c>
      <c r="AA99" s="241">
        <v>37.04</v>
      </c>
    </row>
    <row r="100" spans="1:27" ht="12.5">
      <c r="B100" s="109"/>
      <c r="D100" s="192"/>
      <c r="E100" s="192"/>
      <c r="F100" s="192"/>
      <c r="K100" s="110"/>
      <c r="L100" s="71" t="s">
        <v>109</v>
      </c>
      <c r="O100" s="242">
        <v>1E-3</v>
      </c>
      <c r="Q100" s="110"/>
      <c r="S100" s="238" t="s">
        <v>109</v>
      </c>
      <c r="V100" s="239">
        <v>1E-3</v>
      </c>
      <c r="X100" s="238" t="s">
        <v>109</v>
      </c>
      <c r="AA100" s="239">
        <v>1E-3</v>
      </c>
    </row>
    <row r="101" spans="1:27" ht="14">
      <c r="B101" s="109"/>
      <c r="C101" s="155">
        <v>844000</v>
      </c>
      <c r="D101" s="4" t="s">
        <v>233</v>
      </c>
      <c r="E101" s="192"/>
      <c r="F101" s="192"/>
      <c r="K101" s="110"/>
      <c r="L101" s="71" t="s">
        <v>112</v>
      </c>
      <c r="O101" s="243">
        <v>0.38279999999999997</v>
      </c>
      <c r="Q101" s="110"/>
      <c r="S101" s="238" t="s">
        <v>112</v>
      </c>
      <c r="V101" s="239">
        <v>0.38279999999999997</v>
      </c>
      <c r="X101" s="238" t="s">
        <v>112</v>
      </c>
      <c r="AA101" s="239">
        <v>0.38279999999999997</v>
      </c>
    </row>
    <row r="102" spans="1:27" ht="13">
      <c r="B102" s="109"/>
      <c r="C102" s="196">
        <v>917</v>
      </c>
      <c r="D102" s="215" t="s">
        <v>250</v>
      </c>
      <c r="E102" s="192"/>
      <c r="F102" s="192"/>
      <c r="K102" s="110"/>
      <c r="L102" s="71" t="s">
        <v>114</v>
      </c>
      <c r="O102" s="4">
        <v>60</v>
      </c>
      <c r="Q102" s="110"/>
      <c r="S102" s="238" t="s">
        <v>114</v>
      </c>
      <c r="V102" s="239">
        <v>60</v>
      </c>
      <c r="X102" s="238" t="s">
        <v>114</v>
      </c>
      <c r="AA102" s="239">
        <v>60</v>
      </c>
    </row>
    <row r="103" spans="1:27" ht="13">
      <c r="B103" s="109"/>
      <c r="C103" s="244">
        <v>971.6</v>
      </c>
      <c r="D103" s="213" t="s">
        <v>298</v>
      </c>
      <c r="E103" s="192"/>
      <c r="F103" s="192"/>
      <c r="K103" s="110"/>
      <c r="L103" s="71" t="s">
        <v>115</v>
      </c>
      <c r="O103" s="4">
        <v>60</v>
      </c>
      <c r="Q103" s="110"/>
      <c r="S103" s="238" t="s">
        <v>115</v>
      </c>
      <c r="V103" s="239">
        <v>60</v>
      </c>
      <c r="X103" s="238" t="s">
        <v>115</v>
      </c>
      <c r="AA103" s="239">
        <v>60</v>
      </c>
    </row>
    <row r="104" spans="1:27" ht="18">
      <c r="B104" s="109"/>
      <c r="D104" s="192"/>
      <c r="E104" s="192"/>
      <c r="F104" s="192"/>
      <c r="G104" s="187"/>
      <c r="K104" s="110"/>
      <c r="L104" s="71" t="s">
        <v>117</v>
      </c>
      <c r="O104" s="73">
        <v>0.26159919632836193</v>
      </c>
      <c r="P104" s="4">
        <v>420000</v>
      </c>
      <c r="Q104" s="233" t="s">
        <v>287</v>
      </c>
      <c r="S104" s="238" t="s">
        <v>117</v>
      </c>
      <c r="V104" s="239">
        <v>9.5711636027980093E-2</v>
      </c>
      <c r="X104" s="238" t="s">
        <v>117</v>
      </c>
      <c r="AA104" s="4">
        <v>0.26867275433134491</v>
      </c>
    </row>
    <row r="105" spans="1:27" ht="15.5">
      <c r="B105" s="109"/>
      <c r="D105" s="192"/>
      <c r="E105" s="192"/>
      <c r="F105" s="192"/>
      <c r="J105" s="4">
        <v>945</v>
      </c>
      <c r="K105" s="110"/>
      <c r="L105" s="109"/>
      <c r="O105" s="73">
        <v>-0.74040280500563838</v>
      </c>
      <c r="P105" s="245">
        <v>17640000</v>
      </c>
      <c r="Q105" s="233" t="s">
        <v>154</v>
      </c>
      <c r="S105" s="71" t="s">
        <v>344</v>
      </c>
      <c r="V105" s="239">
        <v>-0.59059695502385645</v>
      </c>
    </row>
    <row r="106" spans="1:27" ht="12.5">
      <c r="B106" s="109"/>
      <c r="C106" s="4" t="s">
        <v>346</v>
      </c>
      <c r="D106" s="192"/>
      <c r="E106" s="192"/>
      <c r="F106" s="192"/>
      <c r="J106" s="4">
        <v>699</v>
      </c>
      <c r="K106" s="110"/>
      <c r="L106" s="109"/>
      <c r="P106" s="34">
        <f>P105*O104</f>
        <v>4614609.8232323043</v>
      </c>
      <c r="Q106" s="246" t="s">
        <v>255</v>
      </c>
      <c r="S106" s="109"/>
      <c r="V106" s="110"/>
      <c r="Z106" s="4">
        <v>324000</v>
      </c>
      <c r="AA106" s="4" t="s">
        <v>287</v>
      </c>
    </row>
    <row r="107" spans="1:27" ht="18">
      <c r="B107" s="109"/>
      <c r="D107" s="192"/>
      <c r="E107" s="192"/>
      <c r="F107" s="192"/>
      <c r="J107">
        <f>J106+J105</f>
        <v>1644</v>
      </c>
      <c r="K107" s="233" t="s">
        <v>287</v>
      </c>
      <c r="L107" s="113"/>
      <c r="M107" s="114"/>
      <c r="N107" s="114"/>
      <c r="O107" s="114"/>
      <c r="P107" s="114"/>
      <c r="Q107" s="115"/>
      <c r="S107" s="71">
        <v>525000</v>
      </c>
      <c r="T107" s="4" t="s">
        <v>287</v>
      </c>
      <c r="V107" s="110"/>
      <c r="Z107" s="187">
        <v>13608000</v>
      </c>
      <c r="AA107" s="4" t="s">
        <v>154</v>
      </c>
    </row>
    <row r="108" spans="1:27" ht="18">
      <c r="B108" s="109"/>
      <c r="C108" s="4" t="s">
        <v>351</v>
      </c>
      <c r="D108" s="192"/>
      <c r="E108" s="192"/>
      <c r="F108" s="192"/>
      <c r="G108" s="4" t="s">
        <v>352</v>
      </c>
      <c r="H108" s="4" t="s">
        <v>353</v>
      </c>
      <c r="J108" s="187">
        <v>69048002</v>
      </c>
      <c r="K108" s="233" t="s">
        <v>154</v>
      </c>
      <c r="S108" s="247">
        <v>22050000</v>
      </c>
      <c r="T108" s="4" t="s">
        <v>154</v>
      </c>
      <c r="V108" s="110"/>
      <c r="Z108" s="34">
        <f>Z107*AA104</f>
        <v>3656098.8409409416</v>
      </c>
      <c r="AA108" s="4" t="s">
        <v>255</v>
      </c>
    </row>
    <row r="109" spans="1:27" ht="18">
      <c r="A109" s="187">
        <v>69048002</v>
      </c>
      <c r="B109" s="113"/>
      <c r="C109" s="114"/>
      <c r="D109" s="208"/>
      <c r="E109" s="208"/>
      <c r="F109" s="208"/>
      <c r="G109" s="114">
        <f>H109/H99</f>
        <v>0.82894621527102119</v>
      </c>
      <c r="H109" s="189">
        <f>P106+S110+Z108+Y117</f>
        <v>34213173.405932665</v>
      </c>
      <c r="I109" s="114"/>
      <c r="J109" s="114">
        <f>H109/H99</f>
        <v>0.82894621527102119</v>
      </c>
      <c r="K109" s="248" t="s">
        <v>258</v>
      </c>
      <c r="S109" s="109">
        <f>-V105+V104</f>
        <v>0.6863085910518365</v>
      </c>
      <c r="T109" s="4" t="s">
        <v>125</v>
      </c>
      <c r="V109" s="110"/>
    </row>
    <row r="110" spans="1:27" ht="12.5">
      <c r="D110" s="192"/>
      <c r="E110" s="192"/>
      <c r="F110" s="192"/>
      <c r="S110" s="249">
        <f>S109*S108</f>
        <v>15133104.432692995</v>
      </c>
      <c r="T110" s="114"/>
      <c r="U110" s="114"/>
      <c r="V110" s="115"/>
    </row>
    <row r="111" spans="1:27" ht="12.5">
      <c r="D111" s="192"/>
      <c r="E111" s="192"/>
      <c r="F111" s="192"/>
      <c r="M111" s="250" t="s">
        <v>354</v>
      </c>
      <c r="X111" s="4" t="s">
        <v>355</v>
      </c>
    </row>
    <row r="112" spans="1:27" ht="12.5">
      <c r="B112" s="105">
        <v>2016</v>
      </c>
      <c r="C112" s="106" t="s">
        <v>274</v>
      </c>
      <c r="D112" s="235">
        <v>2018720</v>
      </c>
      <c r="E112" s="235">
        <v>1518804</v>
      </c>
      <c r="F112" s="235">
        <v>101747</v>
      </c>
      <c r="G112" s="107">
        <f t="shared" ref="G112:G114" si="7">F112+E112+D112</f>
        <v>3639271</v>
      </c>
      <c r="H112" s="106">
        <v>24838049</v>
      </c>
      <c r="I112" s="175">
        <v>2.3039999999999998</v>
      </c>
      <c r="J112" s="107">
        <f t="shared" ref="J112:J114" si="8">I112*H112</f>
        <v>57226864.895999998</v>
      </c>
      <c r="K112" s="108"/>
      <c r="M112" s="4" t="s">
        <v>279</v>
      </c>
      <c r="O112" s="4" t="s">
        <v>358</v>
      </c>
      <c r="R112" s="73" t="s">
        <v>279</v>
      </c>
      <c r="T112" s="73" t="s">
        <v>358</v>
      </c>
      <c r="W112" s="4" t="s">
        <v>117</v>
      </c>
      <c r="X112" s="73">
        <v>9.5711636027980093E-2</v>
      </c>
    </row>
    <row r="113" spans="2:26" ht="12.5">
      <c r="B113" s="109"/>
      <c r="C113" s="4" t="s">
        <v>280</v>
      </c>
      <c r="D113" s="237">
        <v>1368</v>
      </c>
      <c r="E113" s="237">
        <v>893</v>
      </c>
      <c r="F113" s="237">
        <v>2465</v>
      </c>
      <c r="G113">
        <f t="shared" si="7"/>
        <v>4726</v>
      </c>
      <c r="H113" s="4">
        <v>35868</v>
      </c>
      <c r="I113" s="29">
        <v>2.25</v>
      </c>
      <c r="J113">
        <f t="shared" si="8"/>
        <v>80703</v>
      </c>
      <c r="K113" s="110"/>
      <c r="M113" s="4">
        <v>0.40876470840000001</v>
      </c>
      <c r="N113" s="4" t="s">
        <v>282</v>
      </c>
      <c r="R113" s="73">
        <v>0.40876470840000001</v>
      </c>
      <c r="S113" s="73" t="s">
        <v>282</v>
      </c>
      <c r="W113" s="4" t="s">
        <v>126</v>
      </c>
      <c r="X113" s="73">
        <v>-0.59059695502385645</v>
      </c>
    </row>
    <row r="114" spans="2:26" ht="15.5">
      <c r="B114" s="109"/>
      <c r="C114" s="4" t="s">
        <v>359</v>
      </c>
      <c r="D114" s="237">
        <v>2840266</v>
      </c>
      <c r="E114" s="192"/>
      <c r="F114" s="192"/>
      <c r="G114">
        <f t="shared" si="7"/>
        <v>2840266</v>
      </c>
      <c r="H114" s="4">
        <v>19384834</v>
      </c>
      <c r="I114" s="95">
        <v>1.29</v>
      </c>
      <c r="J114" s="183">
        <f t="shared" si="8"/>
        <v>25006435.859999999</v>
      </c>
      <c r="K114" s="110"/>
      <c r="M114" s="4">
        <v>37.04</v>
      </c>
      <c r="N114" s="4" t="s">
        <v>163</v>
      </c>
      <c r="R114" s="73">
        <v>37.04</v>
      </c>
      <c r="S114" s="73" t="s">
        <v>163</v>
      </c>
    </row>
    <row r="115" spans="2:26" ht="12.5">
      <c r="B115" s="109"/>
      <c r="C115" s="4" t="s">
        <v>285</v>
      </c>
      <c r="D115" s="192"/>
      <c r="E115" s="192"/>
      <c r="F115" s="192"/>
      <c r="H115" s="163">
        <f>SUM(H112:H114)</f>
        <v>44258751</v>
      </c>
      <c r="J115" s="165">
        <f>J114+J113+J112</f>
        <v>82314003.755999997</v>
      </c>
      <c r="K115" s="110"/>
      <c r="M115" s="73" t="s">
        <v>107</v>
      </c>
      <c r="P115" s="4">
        <v>0.5</v>
      </c>
      <c r="R115" s="73" t="s">
        <v>107</v>
      </c>
      <c r="U115" s="4">
        <v>1.5</v>
      </c>
      <c r="X115">
        <f>-X113+X112</f>
        <v>0.6863085910518365</v>
      </c>
      <c r="Y115" s="4">
        <v>375000</v>
      </c>
    </row>
    <row r="116" spans="2:26" ht="18">
      <c r="B116" s="109"/>
      <c r="D116" s="192"/>
      <c r="E116" s="192"/>
      <c r="F116" s="192"/>
      <c r="K116" s="110"/>
      <c r="M116" s="73" t="s">
        <v>108</v>
      </c>
      <c r="P116" s="73">
        <f>M114</f>
        <v>37.04</v>
      </c>
      <c r="R116" s="73" t="s">
        <v>108</v>
      </c>
      <c r="U116" s="73">
        <v>37.04</v>
      </c>
      <c r="Y116" s="187">
        <v>15750000</v>
      </c>
      <c r="Z116" s="4" t="s">
        <v>154</v>
      </c>
    </row>
    <row r="117" spans="2:26" ht="13">
      <c r="B117" s="109"/>
      <c r="C117" s="226">
        <v>884.9</v>
      </c>
      <c r="D117" s="4" t="s">
        <v>164</v>
      </c>
      <c r="E117" s="192"/>
      <c r="F117" s="4" t="s">
        <v>255</v>
      </c>
      <c r="G117" s="34">
        <f>O124+O139+T124+T139</f>
        <v>17327776.03244365</v>
      </c>
      <c r="K117" s="110"/>
      <c r="M117" s="73" t="s">
        <v>109</v>
      </c>
      <c r="P117" s="4">
        <v>6.1999999999999998E-3</v>
      </c>
      <c r="R117" s="73" t="s">
        <v>109</v>
      </c>
      <c r="U117" s="4">
        <v>1.025E-2</v>
      </c>
      <c r="Y117" s="34">
        <f>Y116*X115</f>
        <v>10809360.309066424</v>
      </c>
    </row>
    <row r="118" spans="2:26" ht="12.5">
      <c r="B118" s="109"/>
      <c r="C118" s="155">
        <v>813000</v>
      </c>
      <c r="D118" s="4" t="s">
        <v>360</v>
      </c>
      <c r="E118" s="192"/>
      <c r="F118" s="4" t="s">
        <v>258</v>
      </c>
      <c r="G118">
        <f>G117/H115</f>
        <v>0.39151073270105724</v>
      </c>
      <c r="I118" s="4">
        <v>900000</v>
      </c>
      <c r="J118" s="4" t="s">
        <v>287</v>
      </c>
      <c r="K118" s="110"/>
      <c r="M118" s="73" t="s">
        <v>112</v>
      </c>
      <c r="P118" s="73">
        <f>M113</f>
        <v>0.40876470840000001</v>
      </c>
      <c r="R118" s="73" t="s">
        <v>112</v>
      </c>
      <c r="U118" s="73">
        <v>0.40876470840000001</v>
      </c>
    </row>
    <row r="119" spans="2:26" ht="18">
      <c r="B119" s="109"/>
      <c r="D119" s="192"/>
      <c r="E119" s="192"/>
      <c r="F119" s="192"/>
      <c r="I119" s="187">
        <v>37800001</v>
      </c>
      <c r="J119" s="4" t="s">
        <v>171</v>
      </c>
      <c r="K119" s="110"/>
      <c r="M119" s="73" t="s">
        <v>114</v>
      </c>
      <c r="P119" s="73">
        <v>60</v>
      </c>
      <c r="R119" s="73" t="s">
        <v>114</v>
      </c>
      <c r="U119" s="73">
        <v>60</v>
      </c>
    </row>
    <row r="120" spans="2:26" ht="12.5">
      <c r="B120" s="109"/>
      <c r="C120" s="167" t="s">
        <v>364</v>
      </c>
      <c r="D120" s="192"/>
      <c r="E120" s="192"/>
      <c r="F120" s="192"/>
      <c r="K120" s="110"/>
      <c r="M120" s="73" t="s">
        <v>115</v>
      </c>
      <c r="P120" s="73">
        <v>60</v>
      </c>
      <c r="R120" s="73" t="s">
        <v>115</v>
      </c>
      <c r="U120" s="73">
        <v>60</v>
      </c>
    </row>
    <row r="121" spans="2:26" ht="12.5">
      <c r="B121" s="113"/>
      <c r="C121" s="114"/>
      <c r="D121" s="208"/>
      <c r="E121" s="208"/>
      <c r="F121" s="208"/>
      <c r="G121" s="114"/>
      <c r="H121" s="114"/>
      <c r="I121" s="114"/>
      <c r="J121" s="114"/>
      <c r="K121" s="115"/>
      <c r="M121" s="73" t="s">
        <v>117</v>
      </c>
      <c r="P121" s="73">
        <v>6.4593460093207947E-2</v>
      </c>
      <c r="R121" s="73" t="s">
        <v>117</v>
      </c>
      <c r="U121" s="73">
        <v>0.24641017821995201</v>
      </c>
    </row>
    <row r="122" spans="2:26" ht="12.5">
      <c r="D122" s="192"/>
      <c r="F122" s="192"/>
      <c r="O122" s="4" t="s">
        <v>365</v>
      </c>
      <c r="T122" s="4" t="s">
        <v>366</v>
      </c>
    </row>
    <row r="123" spans="2:26" ht="18">
      <c r="D123" s="192"/>
      <c r="E123" s="192"/>
      <c r="F123" s="192"/>
      <c r="O123" s="187">
        <v>16632000</v>
      </c>
      <c r="P123" s="4" t="s">
        <v>154</v>
      </c>
      <c r="T123" s="187">
        <v>10374000</v>
      </c>
      <c r="U123" s="73" t="s">
        <v>154</v>
      </c>
    </row>
    <row r="124" spans="2:26" ht="12.5">
      <c r="D124" s="192"/>
      <c r="E124" s="192"/>
      <c r="F124" s="192"/>
      <c r="O124" s="34">
        <f>O123*P121</f>
        <v>1074318.4282702345</v>
      </c>
      <c r="P124" s="4" t="s">
        <v>255</v>
      </c>
      <c r="T124" s="34">
        <f>T123*U121</f>
        <v>2556259.1888537821</v>
      </c>
      <c r="U124" s="73" t="s">
        <v>255</v>
      </c>
    </row>
    <row r="127" spans="2:26" ht="12.5">
      <c r="M127" s="4" t="s">
        <v>367</v>
      </c>
      <c r="O127" s="73" t="s">
        <v>358</v>
      </c>
      <c r="R127" s="73" t="s">
        <v>367</v>
      </c>
      <c r="T127" s="73" t="s">
        <v>358</v>
      </c>
    </row>
    <row r="128" spans="2:26" ht="12.5">
      <c r="M128" s="4">
        <v>0.38208780180000002</v>
      </c>
      <c r="N128" s="73" t="s">
        <v>282</v>
      </c>
      <c r="R128" s="73">
        <v>0.38208780180000002</v>
      </c>
      <c r="S128" s="73" t="s">
        <v>282</v>
      </c>
    </row>
    <row r="129" spans="4:21" ht="12.5">
      <c r="M129" s="251">
        <v>53.72</v>
      </c>
      <c r="N129" s="73" t="s">
        <v>163</v>
      </c>
      <c r="R129" s="73">
        <v>53.72</v>
      </c>
      <c r="S129" s="73" t="s">
        <v>163</v>
      </c>
    </row>
    <row r="130" spans="4:21" ht="12.5">
      <c r="M130" s="73" t="s">
        <v>107</v>
      </c>
      <c r="P130" s="73">
        <v>0.5</v>
      </c>
      <c r="R130" s="73" t="s">
        <v>107</v>
      </c>
      <c r="U130" s="4">
        <v>1.5</v>
      </c>
    </row>
    <row r="131" spans="4:21" ht="12.5">
      <c r="M131" s="73" t="s">
        <v>108</v>
      </c>
      <c r="P131" s="73">
        <f>M129</f>
        <v>53.72</v>
      </c>
      <c r="R131" s="73" t="s">
        <v>108</v>
      </c>
      <c r="U131" s="73">
        <v>53.72</v>
      </c>
    </row>
    <row r="132" spans="4:21" ht="12.5">
      <c r="M132" s="73" t="s">
        <v>109</v>
      </c>
      <c r="P132" s="73">
        <f>P117</f>
        <v>6.1999999999999998E-3</v>
      </c>
      <c r="R132" s="73" t="s">
        <v>109</v>
      </c>
      <c r="U132" s="73">
        <v>1.025E-2</v>
      </c>
    </row>
    <row r="133" spans="4:21" ht="12.5">
      <c r="M133" s="73" t="s">
        <v>112</v>
      </c>
      <c r="P133" s="73">
        <f>M128</f>
        <v>0.38208780180000002</v>
      </c>
      <c r="R133" s="73" t="s">
        <v>112</v>
      </c>
      <c r="U133" s="73">
        <v>0.38208780180000002</v>
      </c>
    </row>
    <row r="134" spans="4:21" ht="12.5">
      <c r="M134" s="73" t="s">
        <v>114</v>
      </c>
      <c r="P134" s="73">
        <v>60</v>
      </c>
      <c r="R134" s="73" t="s">
        <v>114</v>
      </c>
      <c r="U134" s="73">
        <v>60</v>
      </c>
    </row>
    <row r="135" spans="4:21" ht="12.5">
      <c r="M135" s="73" t="s">
        <v>115</v>
      </c>
      <c r="P135" s="73">
        <v>60</v>
      </c>
      <c r="R135" s="73" t="s">
        <v>115</v>
      </c>
      <c r="U135" s="73">
        <v>60</v>
      </c>
    </row>
    <row r="136" spans="4:21" ht="12.5">
      <c r="M136" s="73" t="s">
        <v>117</v>
      </c>
      <c r="P136" s="73">
        <v>0.39542541617135868</v>
      </c>
      <c r="R136" s="73" t="s">
        <v>117</v>
      </c>
      <c r="U136" s="73">
        <v>0.51347919855449353</v>
      </c>
    </row>
    <row r="137" spans="4:21" ht="12.5">
      <c r="O137" s="4">
        <v>504</v>
      </c>
      <c r="T137" s="4">
        <v>247</v>
      </c>
    </row>
    <row r="138" spans="4:21" ht="18">
      <c r="O138" s="187">
        <v>21168000</v>
      </c>
      <c r="P138" s="73" t="s">
        <v>154</v>
      </c>
      <c r="T138" s="4">
        <v>10374000</v>
      </c>
      <c r="U138" s="73" t="s">
        <v>154</v>
      </c>
    </row>
    <row r="139" spans="4:21" ht="12.5">
      <c r="O139" s="34">
        <f>O138*P136</f>
        <v>8370365.2095153201</v>
      </c>
      <c r="P139" s="73" t="s">
        <v>255</v>
      </c>
      <c r="T139" s="34">
        <f>T138*U136</f>
        <v>5326833.2058043163</v>
      </c>
      <c r="U139" s="73" t="s">
        <v>255</v>
      </c>
    </row>
    <row r="144" spans="4:21" ht="12.5">
      <c r="D144" s="192"/>
      <c r="E144" s="192"/>
      <c r="F144" s="192"/>
    </row>
    <row r="145" spans="2:11" ht="12.5">
      <c r="B145" s="139"/>
      <c r="C145" s="107"/>
      <c r="D145" s="252"/>
      <c r="E145" s="252"/>
      <c r="F145" s="252"/>
      <c r="G145" s="107"/>
      <c r="H145" s="107"/>
      <c r="I145" s="107"/>
      <c r="J145" s="107"/>
      <c r="K145" s="108"/>
    </row>
    <row r="146" spans="2:11" ht="12.5">
      <c r="B146" s="71">
        <v>2017</v>
      </c>
      <c r="C146" s="4" t="s">
        <v>274</v>
      </c>
      <c r="D146" s="237">
        <v>2030936.92</v>
      </c>
      <c r="E146" s="237">
        <v>1546664.72</v>
      </c>
      <c r="F146" s="237">
        <v>102238.71</v>
      </c>
      <c r="G146">
        <f t="shared" ref="G146:G148" si="9">F146+E146+D146</f>
        <v>3679840.3499999996</v>
      </c>
      <c r="H146" s="4">
        <v>25114935</v>
      </c>
      <c r="I146" s="14">
        <v>2.65</v>
      </c>
      <c r="J146">
        <f t="shared" ref="J146:J148" si="10">I146*H146</f>
        <v>66554577.75</v>
      </c>
      <c r="K146" s="110"/>
    </row>
    <row r="147" spans="2:11" ht="12.5">
      <c r="B147" s="109"/>
      <c r="C147" s="4" t="s">
        <v>280</v>
      </c>
      <c r="D147" s="237">
        <v>991.37</v>
      </c>
      <c r="E147" s="237">
        <v>2411.2600000000002</v>
      </c>
      <c r="F147" s="192"/>
      <c r="G147">
        <f t="shared" si="9"/>
        <v>3402.63</v>
      </c>
      <c r="H147" s="4">
        <v>25824</v>
      </c>
      <c r="I147" s="33">
        <v>2.528</v>
      </c>
      <c r="J147">
        <f t="shared" si="10"/>
        <v>65283.072</v>
      </c>
      <c r="K147" s="110"/>
    </row>
    <row r="148" spans="2:11" ht="15.5">
      <c r="B148" s="109"/>
      <c r="C148" s="4" t="s">
        <v>283</v>
      </c>
      <c r="D148" s="237">
        <v>2818610.23</v>
      </c>
      <c r="E148" s="192"/>
      <c r="F148" s="192"/>
      <c r="G148">
        <f t="shared" si="9"/>
        <v>2818610.23</v>
      </c>
      <c r="H148" s="4">
        <v>19237034</v>
      </c>
      <c r="I148" s="95">
        <v>1.58</v>
      </c>
      <c r="J148" s="183">
        <f t="shared" si="10"/>
        <v>30394513.720000003</v>
      </c>
      <c r="K148" s="110"/>
    </row>
    <row r="149" spans="2:11" ht="12.5">
      <c r="B149" s="109"/>
      <c r="C149" s="4" t="s">
        <v>285</v>
      </c>
      <c r="D149" s="192"/>
      <c r="E149" s="192"/>
      <c r="F149" s="192"/>
      <c r="H149" s="163">
        <f>SUM(H146:H148)</f>
        <v>44377793</v>
      </c>
      <c r="J149" s="165">
        <f>J148+J147+J146</f>
        <v>97014374.541999996</v>
      </c>
      <c r="K149" s="110"/>
    </row>
    <row r="150" spans="2:11" ht="12.5">
      <c r="B150" s="109"/>
      <c r="K150" s="110"/>
    </row>
    <row r="151" spans="2:11" ht="12.5">
      <c r="B151" s="109"/>
      <c r="K151" s="110"/>
    </row>
    <row r="152" spans="2:11" ht="12.5">
      <c r="B152" s="109"/>
      <c r="C152" s="155">
        <v>882000</v>
      </c>
      <c r="D152" s="4" t="s">
        <v>370</v>
      </c>
      <c r="K152" s="110"/>
    </row>
    <row r="153" spans="2:11" ht="13">
      <c r="B153" s="109"/>
      <c r="C153" s="256">
        <v>942</v>
      </c>
      <c r="D153" s="4" t="s">
        <v>164</v>
      </c>
      <c r="K153" s="110"/>
    </row>
    <row r="154" spans="2:11" ht="12.5">
      <c r="B154" s="109"/>
      <c r="K154" s="110"/>
    </row>
    <row r="155" spans="2:11" ht="13">
      <c r="B155" s="109"/>
      <c r="G155" s="4" t="s">
        <v>371</v>
      </c>
      <c r="H155" s="257">
        <v>101136003</v>
      </c>
      <c r="K155" s="110"/>
    </row>
    <row r="156" spans="2:11" ht="18">
      <c r="B156" s="109"/>
      <c r="G156" s="259" t="s">
        <v>255</v>
      </c>
      <c r="H156" s="260">
        <f>D185+I185+N185+D202+I202+N202</f>
        <v>96954400.975330189</v>
      </c>
      <c r="K156" s="110"/>
    </row>
    <row r="157" spans="2:11" ht="12.5">
      <c r="B157" s="109"/>
      <c r="G157" s="34">
        <f>H156/H149</f>
        <v>2.1847503992668176</v>
      </c>
      <c r="K157" s="110"/>
    </row>
    <row r="158" spans="2:11" ht="12.5">
      <c r="B158" s="109"/>
      <c r="K158" s="110"/>
    </row>
    <row r="159" spans="2:11" ht="12.5">
      <c r="B159" s="113"/>
      <c r="C159" s="114"/>
      <c r="D159" s="114"/>
      <c r="E159" s="114"/>
      <c r="F159" s="114"/>
      <c r="G159" s="114"/>
      <c r="H159" s="114"/>
      <c r="I159" s="114"/>
      <c r="J159" s="114"/>
      <c r="K159" s="115"/>
    </row>
    <row r="161" spans="2:15" ht="13">
      <c r="B161" s="261" t="s">
        <v>374</v>
      </c>
      <c r="C161" s="262"/>
      <c r="D161" s="262"/>
      <c r="E161" s="263">
        <v>488</v>
      </c>
      <c r="F161" s="262"/>
      <c r="G161" s="263">
        <v>366</v>
      </c>
      <c r="H161" s="262"/>
      <c r="I161" s="263">
        <v>333</v>
      </c>
      <c r="J161" s="262"/>
      <c r="K161" s="264">
        <v>1187</v>
      </c>
      <c r="L161" s="262"/>
    </row>
    <row r="162" spans="2:15" ht="13">
      <c r="B162" s="265" t="s">
        <v>375</v>
      </c>
      <c r="C162" s="266"/>
      <c r="D162" s="266"/>
      <c r="E162" s="267" t="s">
        <v>376</v>
      </c>
      <c r="F162" s="269">
        <v>2</v>
      </c>
      <c r="G162" s="267" t="s">
        <v>377</v>
      </c>
      <c r="H162" s="269">
        <v>2</v>
      </c>
      <c r="I162" s="267" t="s">
        <v>378</v>
      </c>
      <c r="J162" s="269">
        <v>2</v>
      </c>
      <c r="K162" s="266"/>
      <c r="L162" s="266"/>
    </row>
    <row r="163" spans="2:15" ht="13">
      <c r="B163" s="261" t="s">
        <v>379</v>
      </c>
      <c r="C163" s="262"/>
      <c r="D163" s="270">
        <v>46.5</v>
      </c>
      <c r="E163" s="263">
        <v>55.5</v>
      </c>
      <c r="F163" s="270">
        <v>46</v>
      </c>
      <c r="G163" s="263">
        <v>56</v>
      </c>
      <c r="H163" s="270">
        <v>53</v>
      </c>
      <c r="I163" s="263">
        <v>59</v>
      </c>
      <c r="J163" s="262"/>
      <c r="K163" s="264"/>
      <c r="L163" s="262"/>
    </row>
    <row r="164" spans="2:15" ht="13">
      <c r="B164" s="261" t="s">
        <v>380</v>
      </c>
      <c r="C164" s="262"/>
      <c r="D164" s="262"/>
      <c r="E164" s="263">
        <v>390</v>
      </c>
      <c r="F164" s="262"/>
      <c r="G164" s="263">
        <v>426</v>
      </c>
      <c r="H164" s="262"/>
      <c r="I164" s="263">
        <v>405</v>
      </c>
      <c r="J164" s="262"/>
      <c r="K164" s="264">
        <v>1221</v>
      </c>
      <c r="L164" s="262"/>
    </row>
    <row r="165" spans="2:15" ht="13">
      <c r="B165" s="265" t="s">
        <v>375</v>
      </c>
      <c r="C165" s="266"/>
      <c r="D165" s="266"/>
      <c r="E165" s="267" t="s">
        <v>381</v>
      </c>
      <c r="F165" s="269">
        <v>2</v>
      </c>
      <c r="G165" s="267" t="s">
        <v>376</v>
      </c>
      <c r="H165" s="269">
        <v>2</v>
      </c>
      <c r="I165" s="267" t="s">
        <v>383</v>
      </c>
      <c r="J165" s="269">
        <v>2</v>
      </c>
    </row>
    <row r="167" spans="2:15" ht="12.5">
      <c r="B167" s="995" t="s">
        <v>384</v>
      </c>
      <c r="C167" s="996"/>
      <c r="D167" s="996"/>
      <c r="E167" s="996"/>
      <c r="F167" s="996"/>
      <c r="G167" s="996"/>
      <c r="H167" s="996"/>
      <c r="I167" s="996"/>
      <c r="J167" s="996"/>
      <c r="K167" s="996"/>
    </row>
    <row r="168" spans="2:15" ht="15.75" customHeight="1">
      <c r="B168" s="996"/>
      <c r="C168" s="996"/>
      <c r="D168" s="996"/>
      <c r="E168" s="996"/>
      <c r="F168" s="996"/>
      <c r="G168" s="996"/>
      <c r="H168" s="996"/>
      <c r="I168" s="996"/>
      <c r="J168" s="996"/>
      <c r="K168" s="996"/>
    </row>
    <row r="169" spans="2:15" ht="15.75" customHeight="1">
      <c r="B169" s="996"/>
      <c r="C169" s="996"/>
      <c r="D169" s="996"/>
      <c r="E169" s="996"/>
      <c r="F169" s="996"/>
      <c r="G169" s="996"/>
      <c r="H169" s="996"/>
      <c r="I169" s="996"/>
      <c r="J169" s="996"/>
      <c r="K169" s="996"/>
    </row>
    <row r="170" spans="2:15" ht="12.5">
      <c r="B170" s="139"/>
      <c r="C170" s="107"/>
      <c r="D170" s="106" t="s">
        <v>385</v>
      </c>
      <c r="E170" s="106" t="s">
        <v>386</v>
      </c>
      <c r="F170" s="106" t="s">
        <v>387</v>
      </c>
      <c r="G170" s="107"/>
      <c r="H170" s="106" t="s">
        <v>388</v>
      </c>
      <c r="I170" s="107"/>
      <c r="J170" s="107"/>
      <c r="K170" s="107"/>
      <c r="L170" s="107"/>
      <c r="M170" s="107"/>
      <c r="N170" s="107"/>
      <c r="O170" s="108"/>
    </row>
    <row r="171" spans="2:15" ht="12.5">
      <c r="B171" s="71" t="s">
        <v>279</v>
      </c>
      <c r="D171" s="271">
        <v>1.53</v>
      </c>
      <c r="E171" s="4">
        <v>1.82</v>
      </c>
      <c r="F171" s="4">
        <v>1.94</v>
      </c>
      <c r="O171" s="110"/>
    </row>
    <row r="172" spans="2:15" ht="12.5">
      <c r="B172" s="71">
        <v>0.20020040080000001</v>
      </c>
      <c r="C172" s="4" t="s">
        <v>390</v>
      </c>
      <c r="O172" s="110"/>
    </row>
    <row r="173" spans="2:15" ht="12.5">
      <c r="B173" s="71">
        <v>60.42</v>
      </c>
      <c r="C173" s="4" t="s">
        <v>163</v>
      </c>
      <c r="O173" s="110"/>
    </row>
    <row r="174" spans="2:15" ht="12.5">
      <c r="B174" s="109"/>
      <c r="O174" s="110"/>
    </row>
    <row r="175" spans="2:15" ht="12.5">
      <c r="B175" s="238" t="s">
        <v>107</v>
      </c>
      <c r="E175" s="73">
        <v>0.5</v>
      </c>
      <c r="G175" s="73" t="s">
        <v>107</v>
      </c>
      <c r="J175" s="4">
        <v>1.5</v>
      </c>
      <c r="L175" s="73" t="s">
        <v>107</v>
      </c>
      <c r="O175" s="233">
        <v>2.5</v>
      </c>
    </row>
    <row r="176" spans="2:15" ht="12.5">
      <c r="B176" s="238" t="s">
        <v>108</v>
      </c>
      <c r="E176" s="73">
        <f>B173</f>
        <v>60.42</v>
      </c>
      <c r="G176" s="73" t="s">
        <v>108</v>
      </c>
      <c r="J176" s="73">
        <v>60.42</v>
      </c>
      <c r="L176" s="73" t="s">
        <v>108</v>
      </c>
      <c r="O176" s="239">
        <v>60.42</v>
      </c>
    </row>
    <row r="177" spans="2:15" ht="12.5">
      <c r="B177" s="238" t="s">
        <v>109</v>
      </c>
      <c r="E177" s="4">
        <v>1.5299999999999999E-2</v>
      </c>
      <c r="G177" s="73" t="s">
        <v>109</v>
      </c>
      <c r="J177" s="4">
        <v>1.8200000000000001E-2</v>
      </c>
      <c r="L177" s="73" t="s">
        <v>109</v>
      </c>
      <c r="O177" s="233">
        <v>1.9400000000000001E-2</v>
      </c>
    </row>
    <row r="178" spans="2:15" ht="12.5">
      <c r="B178" s="238" t="s">
        <v>112</v>
      </c>
      <c r="E178">
        <f>B172</f>
        <v>0.20020040080000001</v>
      </c>
      <c r="G178" s="73" t="s">
        <v>112</v>
      </c>
      <c r="J178">
        <v>0.20020040080000001</v>
      </c>
      <c r="L178" s="73" t="s">
        <v>112</v>
      </c>
      <c r="O178" s="110">
        <v>0.20020040080000001</v>
      </c>
    </row>
    <row r="179" spans="2:15" ht="12.5">
      <c r="B179" s="238" t="s">
        <v>114</v>
      </c>
      <c r="E179" s="4">
        <v>55.5</v>
      </c>
      <c r="G179" s="73" t="s">
        <v>114</v>
      </c>
      <c r="J179" s="4">
        <v>56</v>
      </c>
      <c r="L179" s="73" t="s">
        <v>114</v>
      </c>
      <c r="O179" s="233">
        <v>53</v>
      </c>
    </row>
    <row r="180" spans="2:15" ht="12.5">
      <c r="B180" s="238" t="s">
        <v>115</v>
      </c>
      <c r="E180" s="4">
        <v>46.5</v>
      </c>
      <c r="G180" s="73" t="s">
        <v>115</v>
      </c>
      <c r="J180" s="4">
        <v>46</v>
      </c>
      <c r="L180" s="73" t="s">
        <v>115</v>
      </c>
      <c r="O180" s="233">
        <v>59</v>
      </c>
    </row>
    <row r="181" spans="2:15" ht="12.5">
      <c r="B181" s="238" t="s">
        <v>117</v>
      </c>
      <c r="E181" s="73">
        <v>0.76316368678939861</v>
      </c>
      <c r="G181" s="73" t="s">
        <v>117</v>
      </c>
      <c r="J181" s="73">
        <v>0.7062800316515957</v>
      </c>
      <c r="L181" s="73" t="s">
        <v>117</v>
      </c>
      <c r="O181" s="239">
        <v>0.77863318876309884</v>
      </c>
    </row>
    <row r="182" spans="2:15" ht="12.5">
      <c r="B182" s="71" t="s">
        <v>391</v>
      </c>
      <c r="E182" s="73">
        <v>-2.5927020810830127E-2</v>
      </c>
      <c r="G182" s="73" t="s">
        <v>391</v>
      </c>
      <c r="J182" s="73">
        <v>-0.10118800807801756</v>
      </c>
      <c r="L182" s="73" t="s">
        <v>391</v>
      </c>
      <c r="O182" s="239">
        <v>-0.3970740369517663</v>
      </c>
    </row>
    <row r="183" spans="2:15" ht="12.5">
      <c r="B183" s="109"/>
      <c r="D183" s="4">
        <v>390</v>
      </c>
      <c r="I183" s="4">
        <v>426</v>
      </c>
      <c r="N183" s="4">
        <v>426</v>
      </c>
      <c r="O183" s="110"/>
    </row>
    <row r="184" spans="2:15" ht="18">
      <c r="B184" s="109">
        <f>-E181+E182</f>
        <v>-0.7890907076002287</v>
      </c>
      <c r="D184" s="187">
        <v>16380000</v>
      </c>
      <c r="E184" s="73" t="s">
        <v>154</v>
      </c>
      <c r="G184">
        <f>J181-J182</f>
        <v>0.80746803972961323</v>
      </c>
      <c r="I184" s="187">
        <v>17892000</v>
      </c>
      <c r="J184" s="73" t="s">
        <v>154</v>
      </c>
      <c r="L184">
        <f>O181-O182</f>
        <v>1.1757072257148651</v>
      </c>
      <c r="N184" s="187">
        <v>17892000</v>
      </c>
      <c r="O184" s="239" t="s">
        <v>154</v>
      </c>
    </row>
    <row r="185" spans="2:15" ht="12.5">
      <c r="B185" s="113"/>
      <c r="C185" s="114"/>
      <c r="D185" s="189">
        <f>D184*-B184</f>
        <v>12925305.790491747</v>
      </c>
      <c r="E185" s="272" t="s">
        <v>255</v>
      </c>
      <c r="F185" s="114"/>
      <c r="G185" s="114"/>
      <c r="H185" s="114"/>
      <c r="I185" s="189">
        <f>I184*G184</f>
        <v>14447218.166842239</v>
      </c>
      <c r="J185" s="272" t="s">
        <v>255</v>
      </c>
      <c r="K185" s="114"/>
      <c r="L185" s="114"/>
      <c r="M185" s="114"/>
      <c r="N185" s="189">
        <f>N184*L184</f>
        <v>21035753.682490367</v>
      </c>
      <c r="O185" s="273" t="s">
        <v>255</v>
      </c>
    </row>
    <row r="187" spans="2:15" ht="12.5">
      <c r="B187" s="139"/>
      <c r="C187" s="107"/>
      <c r="D187" s="106" t="s">
        <v>385</v>
      </c>
      <c r="E187" s="106" t="s">
        <v>386</v>
      </c>
      <c r="F187" s="106" t="s">
        <v>387</v>
      </c>
    </row>
    <row r="188" spans="2:15" ht="12.5">
      <c r="B188" s="71" t="s">
        <v>279</v>
      </c>
      <c r="D188" s="271">
        <v>1.53</v>
      </c>
      <c r="E188" s="4">
        <v>1.82</v>
      </c>
      <c r="F188" s="4">
        <v>1.94</v>
      </c>
    </row>
    <row r="189" spans="2:15" ht="12.5">
      <c r="B189" s="71">
        <v>0.212721312</v>
      </c>
      <c r="C189" s="4" t="s">
        <v>390</v>
      </c>
    </row>
    <row r="190" spans="2:15" ht="12.5">
      <c r="B190" s="168">
        <v>66.87</v>
      </c>
      <c r="C190" s="4" t="s">
        <v>163</v>
      </c>
    </row>
    <row r="191" spans="2:15" ht="12.5">
      <c r="B191" s="109"/>
    </row>
    <row r="192" spans="2:15" ht="12.5">
      <c r="B192" s="238" t="s">
        <v>107</v>
      </c>
      <c r="E192" s="73">
        <v>0.5</v>
      </c>
      <c r="G192" s="73" t="s">
        <v>107</v>
      </c>
      <c r="J192" s="4">
        <v>1.5</v>
      </c>
      <c r="L192" s="73" t="s">
        <v>107</v>
      </c>
      <c r="O192" s="73">
        <v>2.5</v>
      </c>
    </row>
    <row r="193" spans="2:15" ht="12.5">
      <c r="B193" s="238" t="s">
        <v>108</v>
      </c>
      <c r="E193" s="73">
        <f>B190</f>
        <v>66.87</v>
      </c>
      <c r="G193" s="73" t="s">
        <v>108</v>
      </c>
      <c r="J193" s="73">
        <v>66.87</v>
      </c>
      <c r="L193" s="73" t="s">
        <v>108</v>
      </c>
      <c r="O193" s="73">
        <v>66.87</v>
      </c>
    </row>
    <row r="194" spans="2:15" ht="12.5">
      <c r="B194" s="238" t="s">
        <v>109</v>
      </c>
      <c r="E194" s="4">
        <v>1.5299999999999999E-2</v>
      </c>
      <c r="G194" s="73" t="s">
        <v>109</v>
      </c>
      <c r="J194" s="4">
        <v>1.8200000000000001E-2</v>
      </c>
      <c r="L194" s="73" t="s">
        <v>109</v>
      </c>
      <c r="O194" s="73">
        <v>1.9400000000000001E-2</v>
      </c>
    </row>
    <row r="195" spans="2:15" ht="12.5">
      <c r="B195" s="238" t="s">
        <v>112</v>
      </c>
      <c r="E195">
        <f>B189</f>
        <v>0.212721312</v>
      </c>
      <c r="G195" s="73" t="s">
        <v>112</v>
      </c>
      <c r="J195">
        <v>0.212721312</v>
      </c>
      <c r="L195" s="73" t="s">
        <v>112</v>
      </c>
      <c r="O195">
        <v>0.212721312</v>
      </c>
    </row>
    <row r="196" spans="2:15" ht="12.5">
      <c r="B196" s="238" t="s">
        <v>114</v>
      </c>
      <c r="E196" s="4">
        <v>55.5</v>
      </c>
      <c r="G196" s="73" t="s">
        <v>114</v>
      </c>
      <c r="J196" s="4">
        <v>56</v>
      </c>
      <c r="L196" s="73" t="s">
        <v>114</v>
      </c>
      <c r="O196" s="73">
        <v>53</v>
      </c>
    </row>
    <row r="197" spans="2:15" ht="12.5">
      <c r="B197" s="238" t="s">
        <v>115</v>
      </c>
      <c r="E197" s="4">
        <v>46.5</v>
      </c>
      <c r="G197" s="73" t="s">
        <v>115</v>
      </c>
      <c r="J197" s="4">
        <v>46</v>
      </c>
      <c r="L197" s="73" t="s">
        <v>115</v>
      </c>
      <c r="O197" s="73">
        <v>59</v>
      </c>
    </row>
    <row r="198" spans="2:15" ht="12.5">
      <c r="B198" s="238" t="s">
        <v>117</v>
      </c>
      <c r="E198" s="73">
        <v>0.9168064697559265</v>
      </c>
      <c r="G198" s="73" t="s">
        <v>117</v>
      </c>
      <c r="J198" s="73">
        <v>0.82839855640909932</v>
      </c>
      <c r="L198" s="73" t="s">
        <v>117</v>
      </c>
      <c r="O198" s="73">
        <v>0.86513651615291454</v>
      </c>
    </row>
    <row r="199" spans="2:15" ht="12.5">
      <c r="B199" s="71" t="s">
        <v>391</v>
      </c>
      <c r="E199" s="73">
        <v>-5.9817624295513561E-3</v>
      </c>
      <c r="G199" s="73" t="s">
        <v>391</v>
      </c>
      <c r="J199" s="73">
        <v>-5.422534259525455E-2</v>
      </c>
      <c r="L199" s="73" t="s">
        <v>391</v>
      </c>
      <c r="O199" s="73">
        <v>-0.2835093549422778</v>
      </c>
    </row>
    <row r="200" spans="2:15" ht="12.5">
      <c r="B200" s="109"/>
      <c r="D200" s="4">
        <v>488000</v>
      </c>
      <c r="I200" s="4">
        <v>366</v>
      </c>
      <c r="N200" s="4">
        <v>333</v>
      </c>
    </row>
    <row r="201" spans="2:15" ht="18">
      <c r="B201" s="109">
        <f>-E198+E199</f>
        <v>-0.9227882321854779</v>
      </c>
      <c r="D201" s="187">
        <v>20496000</v>
      </c>
      <c r="E201" s="73" t="s">
        <v>154</v>
      </c>
      <c r="G201">
        <f>J198-J199</f>
        <v>0.8826238990043539</v>
      </c>
      <c r="I201" s="187">
        <v>15372000</v>
      </c>
      <c r="J201" s="73" t="s">
        <v>154</v>
      </c>
      <c r="L201">
        <f>O198-O199</f>
        <v>1.1486458710951923</v>
      </c>
      <c r="N201" s="187">
        <v>13986000</v>
      </c>
      <c r="O201" s="73" t="s">
        <v>154</v>
      </c>
    </row>
    <row r="202" spans="2:15" ht="12.5">
      <c r="B202" s="113"/>
      <c r="C202" s="114"/>
      <c r="D202" s="189">
        <f>D201*-B201</f>
        <v>18913467.606873553</v>
      </c>
      <c r="E202" s="272" t="s">
        <v>255</v>
      </c>
      <c r="F202" s="114"/>
      <c r="G202" s="114"/>
      <c r="H202" s="114"/>
      <c r="I202" s="189">
        <f>I201*G201</f>
        <v>13567694.575494928</v>
      </c>
      <c r="J202" s="272" t="s">
        <v>255</v>
      </c>
      <c r="N202" s="34">
        <f>N201*L201</f>
        <v>16064961.15313736</v>
      </c>
      <c r="O202" s="73" t="s">
        <v>255</v>
      </c>
    </row>
  </sheetData>
  <mergeCells count="6">
    <mergeCell ref="B167:K169"/>
    <mergeCell ref="I2:M9"/>
    <mergeCell ref="H19:N24"/>
    <mergeCell ref="I29:N31"/>
    <mergeCell ref="G67:L69"/>
    <mergeCell ref="N59:T6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79"/>
  <sheetViews>
    <sheetView workbookViewId="0"/>
  </sheetViews>
  <sheetFormatPr defaultColWidth="14.453125" defaultRowHeight="15.75" customHeight="1"/>
  <cols>
    <col min="6" max="6" width="20.7265625" customWidth="1"/>
  </cols>
  <sheetData>
    <row r="1" spans="1:27" ht="15.75" customHeight="1">
      <c r="A1" s="4" t="s">
        <v>399</v>
      </c>
      <c r="C1" s="274" t="s">
        <v>400</v>
      </c>
    </row>
    <row r="2" spans="1:27" ht="15.75" customHeight="1">
      <c r="C2" s="4"/>
    </row>
    <row r="3" spans="1:27" ht="15.75" customHeight="1">
      <c r="B3" s="105">
        <v>2017</v>
      </c>
      <c r="C3" s="106"/>
      <c r="D3" s="107"/>
      <c r="E3" s="107"/>
      <c r="F3" s="107"/>
      <c r="G3" s="107"/>
      <c r="H3" s="107"/>
      <c r="I3" s="107"/>
      <c r="J3" s="108"/>
    </row>
    <row r="4" spans="1:27" ht="15.75" customHeight="1">
      <c r="B4" s="1012" t="s">
        <v>403</v>
      </c>
      <c r="C4" s="996"/>
      <c r="D4" s="275" t="s">
        <v>404</v>
      </c>
      <c r="J4" s="110"/>
    </row>
    <row r="5" spans="1:27" ht="15.75" customHeight="1">
      <c r="B5" s="1013"/>
      <c r="C5" s="996"/>
      <c r="D5" s="20" t="s">
        <v>405</v>
      </c>
      <c r="J5" s="110"/>
      <c r="K5" s="276"/>
      <c r="L5" s="276"/>
      <c r="M5" s="1003" t="s">
        <v>407</v>
      </c>
      <c r="N5" s="996"/>
      <c r="O5" s="276"/>
      <c r="P5" s="276"/>
      <c r="Q5" s="1003" t="s">
        <v>408</v>
      </c>
      <c r="R5" s="996"/>
      <c r="S5" s="276"/>
      <c r="T5" s="276"/>
      <c r="U5" s="1003" t="s">
        <v>409</v>
      </c>
      <c r="V5" s="996"/>
      <c r="W5" s="276"/>
      <c r="X5" s="276"/>
      <c r="Y5" s="1004" t="s">
        <v>410</v>
      </c>
      <c r="Z5" s="996"/>
      <c r="AA5" s="276"/>
    </row>
    <row r="6" spans="1:27" ht="15.75" customHeight="1">
      <c r="B6" s="1013"/>
      <c r="C6" s="996"/>
      <c r="J6" s="110"/>
      <c r="K6" s="279">
        <v>2018</v>
      </c>
      <c r="L6" s="276"/>
      <c r="M6" s="276"/>
      <c r="N6" s="280">
        <v>1244</v>
      </c>
      <c r="O6" s="276"/>
      <c r="P6" s="276"/>
      <c r="Q6" s="276"/>
      <c r="R6" s="277">
        <v>78</v>
      </c>
      <c r="S6" s="276"/>
      <c r="T6" s="276"/>
      <c r="U6" s="276"/>
      <c r="V6" s="281">
        <v>0.28000000000000003</v>
      </c>
      <c r="W6" s="276"/>
      <c r="X6" s="276"/>
      <c r="Y6" s="276"/>
      <c r="Z6" s="277">
        <v>31</v>
      </c>
    </row>
    <row r="7" spans="1:27" ht="15.75" customHeight="1">
      <c r="B7" s="1013"/>
      <c r="C7" s="996"/>
      <c r="D7" s="54" t="s">
        <v>412</v>
      </c>
      <c r="E7" s="4" t="s">
        <v>413</v>
      </c>
      <c r="J7" s="110"/>
      <c r="K7" s="282"/>
      <c r="N7" s="187">
        <v>52248001.666812003</v>
      </c>
      <c r="O7" s="4" t="s">
        <v>171</v>
      </c>
    </row>
    <row r="8" spans="1:27" ht="15.75" customHeight="1">
      <c r="B8" s="109"/>
      <c r="C8" s="4"/>
      <c r="G8" s="4" t="s">
        <v>414</v>
      </c>
      <c r="J8" s="110"/>
      <c r="N8" s="207">
        <f>N7/J11</f>
        <v>0.31100000000000766</v>
      </c>
      <c r="O8" s="4" t="s">
        <v>258</v>
      </c>
    </row>
    <row r="9" spans="1:27" ht="15.75" customHeight="1">
      <c r="B9" s="71" t="s">
        <v>416</v>
      </c>
      <c r="C9" s="4"/>
      <c r="D9" s="279">
        <v>2018</v>
      </c>
      <c r="E9" s="280">
        <v>1244</v>
      </c>
      <c r="F9" s="277">
        <v>78</v>
      </c>
      <c r="G9" s="283">
        <v>0.28000000000000003</v>
      </c>
      <c r="H9" s="277"/>
      <c r="J9" s="110"/>
    </row>
    <row r="10" spans="1:27" ht="15.75" customHeight="1">
      <c r="B10" s="109"/>
      <c r="C10" s="4"/>
      <c r="J10" s="110"/>
    </row>
    <row r="11" spans="1:27" ht="15.75" customHeight="1">
      <c r="B11" s="109"/>
      <c r="D11" s="275" t="s">
        <v>417</v>
      </c>
      <c r="J11" s="187">
        <v>168000005.35951999</v>
      </c>
    </row>
    <row r="12" spans="1:27" ht="15.75" customHeight="1">
      <c r="B12" s="109"/>
      <c r="C12" s="4"/>
      <c r="D12" s="20" t="s">
        <v>237</v>
      </c>
      <c r="J12" s="110"/>
    </row>
    <row r="13" spans="1:27" ht="15.75" customHeight="1">
      <c r="B13" s="109"/>
      <c r="C13" s="4"/>
      <c r="J13" s="110"/>
    </row>
    <row r="14" spans="1:27" ht="15.75" customHeight="1">
      <c r="B14" s="109"/>
      <c r="C14" s="4"/>
      <c r="D14" s="284" t="s">
        <v>418</v>
      </c>
      <c r="J14" s="110"/>
    </row>
    <row r="15" spans="1:27" ht="15.75" customHeight="1">
      <c r="B15" s="1015"/>
      <c r="C15" s="996"/>
      <c r="D15" s="1016" t="s">
        <v>420</v>
      </c>
      <c r="E15" s="996"/>
      <c r="F15" s="996"/>
      <c r="G15" s="996"/>
      <c r="H15" s="996"/>
      <c r="I15" s="996"/>
      <c r="J15" s="110"/>
    </row>
    <row r="16" spans="1:27" ht="15.75" customHeight="1">
      <c r="B16" s="1013"/>
      <c r="C16" s="996"/>
      <c r="D16" s="996"/>
      <c r="E16" s="996"/>
      <c r="F16" s="996"/>
      <c r="G16" s="996"/>
      <c r="H16" s="996"/>
      <c r="I16" s="996"/>
      <c r="J16" s="110"/>
    </row>
    <row r="17" spans="2:21" ht="15.75" customHeight="1">
      <c r="B17" s="1013"/>
      <c r="C17" s="996"/>
      <c r="D17" s="996"/>
      <c r="E17" s="996"/>
      <c r="F17" s="996"/>
      <c r="G17" s="996"/>
      <c r="H17" s="996"/>
      <c r="I17" s="996"/>
      <c r="J17" s="110"/>
    </row>
    <row r="18" spans="2:21" ht="15.75" customHeight="1">
      <c r="B18" s="113"/>
      <c r="C18" s="122"/>
      <c r="D18" s="1008"/>
      <c r="E18" s="1008"/>
      <c r="F18" s="1008"/>
      <c r="G18" s="1008"/>
      <c r="H18" s="1008"/>
      <c r="I18" s="1008"/>
      <c r="J18" s="115"/>
    </row>
    <row r="19" spans="2:21" ht="15.75" customHeight="1">
      <c r="C19" s="4"/>
    </row>
    <row r="20" spans="2:21" ht="15.75" customHeight="1">
      <c r="C20" s="4"/>
    </row>
    <row r="21" spans="2:21" ht="15.75" customHeight="1">
      <c r="B21" s="105">
        <v>2016</v>
      </c>
      <c r="C21" s="106"/>
      <c r="D21" s="107"/>
      <c r="E21" s="107"/>
      <c r="F21" s="107"/>
      <c r="G21" s="107"/>
      <c r="H21" s="279" t="s">
        <v>422</v>
      </c>
      <c r="I21" s="285">
        <v>459</v>
      </c>
      <c r="J21" s="276"/>
      <c r="K21" s="276"/>
      <c r="L21" s="276"/>
      <c r="M21" s="277">
        <v>499</v>
      </c>
      <c r="N21" s="276"/>
    </row>
    <row r="22" spans="2:21" ht="12.5">
      <c r="B22" s="109"/>
      <c r="C22" s="4"/>
      <c r="D22" s="4" t="s">
        <v>423</v>
      </c>
      <c r="E22" s="54">
        <v>5517</v>
      </c>
      <c r="K22" s="110"/>
    </row>
    <row r="23" spans="2:21" ht="12.5">
      <c r="B23" s="109"/>
      <c r="C23" s="4"/>
      <c r="K23" s="110"/>
    </row>
    <row r="24" spans="2:21" ht="12.5">
      <c r="B24" s="109"/>
      <c r="C24" s="4"/>
      <c r="D24" s="4">
        <v>2016</v>
      </c>
      <c r="E24" s="4" t="s">
        <v>424</v>
      </c>
      <c r="F24" s="4" t="s">
        <v>274</v>
      </c>
      <c r="G24" s="4" t="s">
        <v>285</v>
      </c>
      <c r="K24" s="110"/>
    </row>
    <row r="25" spans="2:21" ht="12.5">
      <c r="B25" s="109"/>
      <c r="C25" s="4"/>
      <c r="E25" s="118">
        <v>11888211</v>
      </c>
      <c r="F25" s="118">
        <v>14302022</v>
      </c>
      <c r="G25" s="43">
        <f t="shared" ref="G25:G26" si="0">F25+E25</f>
        <v>26190233</v>
      </c>
      <c r="H25" s="4" t="s">
        <v>427</v>
      </c>
      <c r="K25" s="110"/>
    </row>
    <row r="26" spans="2:21" ht="12.5">
      <c r="B26" s="109"/>
      <c r="C26" s="4"/>
      <c r="E26" s="4">
        <v>81137121</v>
      </c>
      <c r="F26" s="4">
        <v>97611397</v>
      </c>
      <c r="G26">
        <f t="shared" si="0"/>
        <v>178748518</v>
      </c>
      <c r="H26" s="4" t="s">
        <v>154</v>
      </c>
      <c r="I26" s="20" t="s">
        <v>428</v>
      </c>
      <c r="K26" s="110"/>
    </row>
    <row r="27" spans="2:21" ht="12.5">
      <c r="B27" s="109"/>
      <c r="C27" s="4"/>
      <c r="E27" s="4" t="s">
        <v>163</v>
      </c>
      <c r="F27" s="4" t="s">
        <v>163</v>
      </c>
      <c r="K27" s="110"/>
    </row>
    <row r="28" spans="2:21" ht="15.5">
      <c r="B28" s="109"/>
      <c r="C28" s="4"/>
      <c r="E28" s="286">
        <v>1.29</v>
      </c>
      <c r="F28" s="14">
        <v>2.3039999999999998</v>
      </c>
      <c r="K28" s="110"/>
    </row>
    <row r="29" spans="2:21" ht="12.5">
      <c r="B29" s="109"/>
      <c r="C29" s="4"/>
      <c r="E29" s="4" t="s">
        <v>164</v>
      </c>
      <c r="K29" s="110"/>
      <c r="M29" s="287"/>
      <c r="N29" s="288" t="s">
        <v>407</v>
      </c>
      <c r="O29" s="287"/>
      <c r="P29" s="288" t="s">
        <v>408</v>
      </c>
      <c r="Q29" s="287"/>
      <c r="R29" s="288" t="s">
        <v>409</v>
      </c>
      <c r="S29" s="287"/>
      <c r="T29" s="289" t="s">
        <v>429</v>
      </c>
    </row>
    <row r="30" spans="2:21" ht="12.5">
      <c r="B30" s="109"/>
      <c r="C30" s="4"/>
      <c r="E30" s="183">
        <f t="shared" ref="E30:F30" si="1">E26*E28</f>
        <v>104666886.09</v>
      </c>
      <c r="F30">
        <f t="shared" si="1"/>
        <v>224896658.68799999</v>
      </c>
      <c r="G30" s="183">
        <f>F30+E30</f>
        <v>329563544.778</v>
      </c>
      <c r="K30" s="110"/>
      <c r="M30" s="290">
        <v>2017</v>
      </c>
      <c r="N30" s="291"/>
      <c r="O30" s="292">
        <v>2214</v>
      </c>
      <c r="P30" s="291"/>
      <c r="Q30" s="293">
        <v>80</v>
      </c>
      <c r="R30" s="291"/>
      <c r="S30" s="294">
        <v>0.5</v>
      </c>
      <c r="T30" s="291"/>
      <c r="U30" s="293">
        <v>22</v>
      </c>
    </row>
    <row r="31" spans="2:21" ht="12.5">
      <c r="B31" s="109"/>
      <c r="C31" s="4"/>
      <c r="K31" s="110"/>
      <c r="M31" s="289">
        <v>2018</v>
      </c>
      <c r="N31" s="287"/>
      <c r="O31" s="295">
        <v>1207</v>
      </c>
      <c r="P31" s="287"/>
      <c r="Q31" s="296">
        <v>78</v>
      </c>
      <c r="R31" s="287"/>
      <c r="S31" s="297">
        <v>0.28000000000000003</v>
      </c>
      <c r="T31" s="287"/>
      <c r="U31" s="296">
        <v>31</v>
      </c>
    </row>
    <row r="32" spans="2:21" ht="12.5">
      <c r="B32" s="109"/>
      <c r="C32" s="4"/>
      <c r="K32" s="110"/>
    </row>
    <row r="33" spans="2:16" ht="12.5">
      <c r="B33" s="109"/>
      <c r="C33" s="290">
        <v>2017</v>
      </c>
      <c r="D33" s="291"/>
      <c r="E33" s="292">
        <v>2214</v>
      </c>
      <c r="F33" s="291"/>
      <c r="G33" s="293">
        <v>80</v>
      </c>
      <c r="H33" s="291"/>
      <c r="I33" s="299">
        <v>0.5</v>
      </c>
      <c r="J33" s="291"/>
      <c r="K33" s="110"/>
      <c r="O33" s="184">
        <f>O31+O30</f>
        <v>3421</v>
      </c>
    </row>
    <row r="34" spans="2:16" ht="18">
      <c r="B34" s="109"/>
      <c r="C34" s="4"/>
      <c r="K34" s="110"/>
      <c r="O34" s="187">
        <v>143682004.58373001</v>
      </c>
      <c r="P34" s="4" t="s">
        <v>171</v>
      </c>
    </row>
    <row r="35" spans="2:16" ht="12.5">
      <c r="B35" s="109"/>
      <c r="C35" s="301" t="s">
        <v>430</v>
      </c>
      <c r="K35" s="110"/>
      <c r="O35" s="207">
        <f>O34/G26</f>
        <v>0.80382207467437583</v>
      </c>
      <c r="P35" s="4" t="s">
        <v>258</v>
      </c>
    </row>
    <row r="36" spans="2:16" ht="12.5">
      <c r="B36" s="109"/>
      <c r="C36" s="4"/>
      <c r="K36" s="110"/>
    </row>
    <row r="37" spans="2:16" ht="12.5">
      <c r="B37" s="113"/>
      <c r="C37" s="303" t="s">
        <v>431</v>
      </c>
      <c r="D37" s="114"/>
      <c r="E37" s="114"/>
      <c r="F37" s="114"/>
      <c r="G37" s="114"/>
      <c r="H37" s="114"/>
      <c r="I37" s="114"/>
      <c r="J37" s="114"/>
      <c r="K37" s="115"/>
    </row>
    <row r="38" spans="2:16" ht="12.5">
      <c r="C38" s="4"/>
    </row>
    <row r="39" spans="2:16" ht="12.5">
      <c r="C39" s="4"/>
    </row>
    <row r="40" spans="2:16" ht="12.5">
      <c r="B40" s="105">
        <v>2015</v>
      </c>
      <c r="C40" s="106"/>
      <c r="D40" s="107"/>
      <c r="E40" s="107"/>
      <c r="F40" s="107"/>
      <c r="G40" s="107"/>
      <c r="H40" s="107"/>
      <c r="I40" s="108"/>
    </row>
    <row r="41" spans="2:16" ht="12.5">
      <c r="B41" s="109"/>
      <c r="C41" s="4" t="s">
        <v>432</v>
      </c>
      <c r="D41" s="54">
        <v>6117</v>
      </c>
      <c r="H41" s="4" t="s">
        <v>433</v>
      </c>
      <c r="I41" s="233">
        <v>499</v>
      </c>
    </row>
    <row r="42" spans="2:16" ht="12.5">
      <c r="B42" s="109"/>
      <c r="C42" s="4" t="s">
        <v>435</v>
      </c>
      <c r="D42" s="54">
        <v>5250</v>
      </c>
      <c r="I42" s="110"/>
    </row>
    <row r="43" spans="2:16" ht="12.5">
      <c r="B43" s="109"/>
      <c r="C43" s="4"/>
      <c r="I43" s="110"/>
    </row>
    <row r="44" spans="2:16" ht="12.5">
      <c r="B44" s="109"/>
      <c r="C44" s="4" t="s">
        <v>436</v>
      </c>
      <c r="D44" s="4" t="s">
        <v>437</v>
      </c>
      <c r="E44" s="4" t="s">
        <v>285</v>
      </c>
      <c r="I44" s="110"/>
    </row>
    <row r="45" spans="2:16" ht="12.5">
      <c r="B45" s="71" t="s">
        <v>243</v>
      </c>
      <c r="C45" s="4">
        <v>16.899999999999999</v>
      </c>
      <c r="D45" s="4">
        <v>14.2</v>
      </c>
      <c r="E45">
        <f t="shared" ref="E45:E46" si="2">C45+D45</f>
        <v>31.099999999999998</v>
      </c>
      <c r="I45" s="110"/>
    </row>
    <row r="46" spans="2:16" ht="12.5">
      <c r="B46" s="71" t="s">
        <v>171</v>
      </c>
      <c r="C46" s="4">
        <v>115342615</v>
      </c>
      <c r="D46" s="4">
        <v>96915096</v>
      </c>
      <c r="E46" s="34">
        <f t="shared" si="2"/>
        <v>212257711</v>
      </c>
      <c r="I46" s="110"/>
    </row>
    <row r="47" spans="2:16" ht="15.5">
      <c r="B47" s="71" t="s">
        <v>163</v>
      </c>
      <c r="C47" s="4">
        <v>2.7069999999999999</v>
      </c>
      <c r="D47" s="95">
        <v>1.54</v>
      </c>
      <c r="I47" s="110"/>
    </row>
    <row r="48" spans="2:16" ht="12.5">
      <c r="B48" s="71" t="s">
        <v>164</v>
      </c>
      <c r="C48" s="4">
        <f t="shared" ref="C48:D48" si="3">C47*C46</f>
        <v>312232458.80500001</v>
      </c>
      <c r="D48" s="306">
        <f t="shared" si="3"/>
        <v>149249247.84</v>
      </c>
      <c r="E48" s="307">
        <f>D48+C48</f>
        <v>461481706.64499998</v>
      </c>
      <c r="I48" s="110"/>
    </row>
    <row r="49" spans="2:30" ht="12.5">
      <c r="B49" s="109"/>
      <c r="C49" s="4"/>
      <c r="I49" s="110"/>
    </row>
    <row r="50" spans="2:30" ht="12.5">
      <c r="B50" s="308">
        <v>2016</v>
      </c>
      <c r="C50" s="309">
        <v>2933</v>
      </c>
      <c r="D50" s="310">
        <v>85</v>
      </c>
      <c r="E50" s="283">
        <v>0.7</v>
      </c>
      <c r="I50" s="110"/>
    </row>
    <row r="51" spans="2:30" ht="12.5">
      <c r="B51" s="311" t="s">
        <v>439</v>
      </c>
      <c r="C51" s="4"/>
      <c r="I51" s="110"/>
    </row>
    <row r="52" spans="2:30" ht="12.5">
      <c r="B52" s="113"/>
      <c r="C52" s="122"/>
      <c r="D52" s="114"/>
      <c r="E52" s="114"/>
      <c r="F52" s="114"/>
      <c r="G52" s="114"/>
      <c r="H52" s="114"/>
      <c r="I52" s="115"/>
    </row>
    <row r="53" spans="2:30" ht="12.5">
      <c r="B53" s="105"/>
      <c r="C53" s="106"/>
      <c r="D53" s="107"/>
      <c r="E53" s="107"/>
      <c r="F53" s="107"/>
      <c r="G53" s="107"/>
      <c r="H53" s="107"/>
      <c r="I53" s="107"/>
      <c r="J53" s="107"/>
      <c r="K53" s="107"/>
      <c r="L53" s="108"/>
    </row>
    <row r="54" spans="2:30" ht="12.5">
      <c r="B54" s="312" t="s">
        <v>441</v>
      </c>
      <c r="E54" s="54" t="s">
        <v>443</v>
      </c>
      <c r="L54" s="110"/>
      <c r="N54" s="276"/>
      <c r="O54" s="1003" t="s">
        <v>407</v>
      </c>
      <c r="P54" s="996"/>
      <c r="Q54" s="276"/>
      <c r="R54" s="276"/>
      <c r="S54" s="1003" t="s">
        <v>444</v>
      </c>
      <c r="T54" s="996"/>
      <c r="U54" s="276"/>
      <c r="V54" s="276"/>
      <c r="W54" s="1003" t="s">
        <v>445</v>
      </c>
      <c r="X54" s="996"/>
      <c r="Y54" s="276"/>
      <c r="Z54" s="276"/>
      <c r="AA54" s="1004" t="s">
        <v>446</v>
      </c>
      <c r="AB54" s="996"/>
      <c r="AC54" s="276"/>
    </row>
    <row r="55" spans="2:30" ht="12.5">
      <c r="B55" s="1014" t="s">
        <v>447</v>
      </c>
      <c r="C55" s="996"/>
      <c r="D55" s="996"/>
      <c r="E55" s="996"/>
      <c r="F55" s="996"/>
      <c r="G55" s="996"/>
      <c r="H55" s="996"/>
      <c r="I55" s="996"/>
      <c r="J55" s="996"/>
      <c r="K55" s="996"/>
      <c r="L55" s="998"/>
      <c r="N55" s="313">
        <v>2016</v>
      </c>
      <c r="O55" s="314"/>
      <c r="P55" s="314"/>
      <c r="Q55" s="309">
        <v>2933</v>
      </c>
      <c r="R55" s="314"/>
      <c r="S55" s="314"/>
      <c r="T55" s="314"/>
      <c r="U55" s="310">
        <v>85</v>
      </c>
      <c r="V55" s="314"/>
      <c r="W55" s="314"/>
      <c r="X55" s="314"/>
      <c r="Y55" s="315">
        <v>0.7</v>
      </c>
      <c r="Z55" s="314"/>
      <c r="AA55" s="314"/>
      <c r="AB55" s="314"/>
      <c r="AC55" s="310">
        <v>13</v>
      </c>
      <c r="AD55" s="314"/>
    </row>
    <row r="56" spans="2:30" ht="12.5">
      <c r="B56" s="1013"/>
      <c r="C56" s="996"/>
      <c r="D56" s="996"/>
      <c r="E56" s="996"/>
      <c r="F56" s="996"/>
      <c r="G56" s="996"/>
      <c r="H56" s="996"/>
      <c r="I56" s="996"/>
      <c r="J56" s="996"/>
      <c r="K56" s="996"/>
      <c r="L56" s="998"/>
      <c r="N56" s="279">
        <v>2017</v>
      </c>
      <c r="O56" s="276"/>
      <c r="P56" s="276"/>
      <c r="Q56" s="280">
        <v>2093</v>
      </c>
      <c r="R56" s="276"/>
      <c r="S56" s="276"/>
      <c r="T56" s="276"/>
      <c r="U56" s="277">
        <v>81</v>
      </c>
      <c r="V56" s="276"/>
      <c r="W56" s="276"/>
      <c r="X56" s="276"/>
      <c r="Y56" s="281">
        <v>0.55000000000000004</v>
      </c>
      <c r="Z56" s="276"/>
      <c r="AA56" s="276"/>
      <c r="AB56" s="276"/>
      <c r="AC56" s="277">
        <v>17</v>
      </c>
      <c r="AD56" s="276"/>
    </row>
    <row r="57" spans="2:30" ht="12.5">
      <c r="B57" s="1013"/>
      <c r="C57" s="996"/>
      <c r="D57" s="996"/>
      <c r="E57" s="996"/>
      <c r="F57" s="996"/>
      <c r="G57" s="996"/>
      <c r="H57" s="996"/>
      <c r="I57" s="996"/>
      <c r="J57" s="996"/>
      <c r="K57" s="996"/>
      <c r="L57" s="998"/>
      <c r="N57" s="313">
        <v>2018</v>
      </c>
      <c r="O57" s="314"/>
      <c r="P57" s="314"/>
      <c r="Q57" s="309">
        <v>1080</v>
      </c>
      <c r="R57" s="314"/>
      <c r="S57" s="314"/>
      <c r="T57" s="314"/>
      <c r="U57" s="310">
        <v>79</v>
      </c>
      <c r="V57" s="314"/>
      <c r="W57" s="314"/>
      <c r="X57" s="314"/>
      <c r="Y57" s="315">
        <v>0.33</v>
      </c>
      <c r="Z57" s="314"/>
      <c r="AA57" s="314"/>
      <c r="AB57" s="314"/>
      <c r="AC57" s="310">
        <v>22</v>
      </c>
    </row>
    <row r="58" spans="2:30" ht="12.5">
      <c r="B58" s="1013"/>
      <c r="C58" s="996"/>
      <c r="D58" s="996"/>
      <c r="E58" s="996"/>
      <c r="F58" s="996"/>
      <c r="G58" s="996"/>
      <c r="H58" s="996"/>
      <c r="I58" s="996"/>
      <c r="J58" s="996"/>
      <c r="K58" s="996"/>
      <c r="L58" s="998"/>
      <c r="N58" s="282"/>
      <c r="Q58" s="184">
        <f>Q57+Q56+Q55</f>
        <v>6106</v>
      </c>
      <c r="R58" s="4" t="s">
        <v>287</v>
      </c>
    </row>
    <row r="59" spans="2:30" ht="18">
      <c r="B59" s="1013"/>
      <c r="C59" s="996"/>
      <c r="D59" s="996"/>
      <c r="E59" s="996"/>
      <c r="F59" s="996"/>
      <c r="G59" s="996"/>
      <c r="H59" s="996"/>
      <c r="I59" s="996"/>
      <c r="J59" s="996"/>
      <c r="K59" s="996"/>
      <c r="L59" s="998"/>
      <c r="Q59" s="187">
        <v>256452008.18131</v>
      </c>
      <c r="R59" s="4" t="s">
        <v>154</v>
      </c>
    </row>
    <row r="60" spans="2:30" ht="12.5">
      <c r="B60" s="316" t="s">
        <v>450</v>
      </c>
      <c r="L60" s="110"/>
      <c r="Q60" s="207">
        <f>Q59/E46</f>
        <v>1.2082105614589898</v>
      </c>
      <c r="R60" s="4" t="s">
        <v>258</v>
      </c>
    </row>
    <row r="61" spans="2:30" ht="12.5">
      <c r="B61" s="317" t="s">
        <v>451</v>
      </c>
      <c r="C61" s="318"/>
      <c r="D61" s="319" t="s">
        <v>453</v>
      </c>
      <c r="L61" s="110"/>
    </row>
    <row r="62" spans="2:30" ht="12.5">
      <c r="B62" s="317" t="s">
        <v>451</v>
      </c>
      <c r="C62" s="318"/>
      <c r="D62" s="319" t="s">
        <v>454</v>
      </c>
      <c r="L62" s="110"/>
    </row>
    <row r="63" spans="2:30" ht="12.5">
      <c r="B63" s="320"/>
      <c r="L63" s="110"/>
    </row>
    <row r="64" spans="2:30" ht="12.5">
      <c r="B64" s="321" t="s">
        <v>455</v>
      </c>
      <c r="C64" s="114"/>
      <c r="D64" s="114"/>
      <c r="E64" s="114"/>
      <c r="F64" s="114"/>
      <c r="G64" s="114"/>
      <c r="H64" s="114"/>
      <c r="I64" s="114"/>
      <c r="J64" s="114"/>
      <c r="K64" s="114"/>
      <c r="L64" s="115"/>
    </row>
    <row r="66" spans="2:25" ht="12.5">
      <c r="B66" s="105">
        <v>2014</v>
      </c>
      <c r="C66" s="106"/>
      <c r="D66" s="107"/>
      <c r="E66" s="107"/>
      <c r="F66" s="107"/>
      <c r="G66" s="107"/>
      <c r="H66" s="108"/>
    </row>
    <row r="67" spans="2:25" ht="12.5">
      <c r="B67" s="109"/>
      <c r="C67" s="4"/>
      <c r="H67" s="110"/>
      <c r="I67" s="287"/>
      <c r="J67" s="1005" t="s">
        <v>456</v>
      </c>
      <c r="K67" s="996"/>
      <c r="L67" s="287"/>
      <c r="M67" s="287"/>
      <c r="N67" s="1005" t="s">
        <v>457</v>
      </c>
      <c r="O67" s="996"/>
      <c r="P67" s="287"/>
      <c r="Q67" s="287"/>
      <c r="R67" s="1005" t="s">
        <v>458</v>
      </c>
      <c r="S67" s="996"/>
      <c r="T67" s="287"/>
      <c r="U67" s="287"/>
      <c r="V67" s="1006" t="s">
        <v>459</v>
      </c>
      <c r="W67" s="996"/>
      <c r="X67" s="287"/>
    </row>
    <row r="68" spans="2:25" ht="12.5">
      <c r="B68" s="109"/>
      <c r="C68" s="4" t="s">
        <v>460</v>
      </c>
      <c r="H68" s="110"/>
      <c r="I68" s="323">
        <v>2015</v>
      </c>
      <c r="J68" s="291"/>
      <c r="K68" s="291"/>
      <c r="L68" s="324">
        <v>2755</v>
      </c>
      <c r="M68" s="291"/>
      <c r="N68" s="291"/>
      <c r="O68" s="291"/>
      <c r="P68" s="325">
        <v>90</v>
      </c>
      <c r="Q68" s="291"/>
      <c r="R68" s="291"/>
      <c r="S68" s="291"/>
      <c r="T68" s="327">
        <v>0.57999999999999996</v>
      </c>
      <c r="U68" s="291"/>
      <c r="V68" s="291"/>
      <c r="W68" s="291"/>
      <c r="X68" s="328">
        <v>20</v>
      </c>
      <c r="Y68" s="291"/>
    </row>
    <row r="69" spans="2:25" ht="12.5">
      <c r="B69" s="109"/>
      <c r="C69" s="4"/>
      <c r="H69" s="110"/>
      <c r="I69" s="329">
        <v>2016</v>
      </c>
      <c r="J69" s="287"/>
      <c r="K69" s="287"/>
      <c r="L69" s="330">
        <v>2811</v>
      </c>
      <c r="M69" s="287"/>
      <c r="N69" s="287"/>
      <c r="O69" s="287"/>
      <c r="P69" s="322">
        <v>85</v>
      </c>
      <c r="Q69" s="287"/>
      <c r="R69" s="287"/>
      <c r="S69" s="287"/>
      <c r="T69" s="331">
        <v>0.65</v>
      </c>
      <c r="U69" s="287"/>
      <c r="V69" s="287"/>
      <c r="W69" s="287"/>
      <c r="X69" s="322">
        <v>15</v>
      </c>
      <c r="Y69" s="287"/>
    </row>
    <row r="70" spans="2:25" ht="18">
      <c r="B70" s="109"/>
      <c r="C70" s="4"/>
      <c r="D70" s="187">
        <v>210000006</v>
      </c>
      <c r="E70" s="4" t="s">
        <v>154</v>
      </c>
      <c r="F70">
        <f>D70*D71</f>
        <v>803250022.95000005</v>
      </c>
      <c r="H70" s="110"/>
      <c r="I70" s="323">
        <v>2017</v>
      </c>
      <c r="J70" s="291"/>
      <c r="K70" s="291"/>
      <c r="L70" s="324">
        <v>1920</v>
      </c>
      <c r="M70" s="291"/>
      <c r="N70" s="291"/>
      <c r="O70" s="291"/>
      <c r="P70" s="325">
        <v>81</v>
      </c>
      <c r="Q70" s="291"/>
      <c r="R70" s="291"/>
      <c r="S70" s="291"/>
      <c r="T70" s="327">
        <v>0.49</v>
      </c>
      <c r="U70" s="291"/>
      <c r="V70" s="291"/>
      <c r="W70" s="291"/>
      <c r="X70" s="325">
        <v>20</v>
      </c>
      <c r="Y70" s="291"/>
    </row>
    <row r="71" spans="2:25" ht="12.5">
      <c r="B71" s="109"/>
      <c r="C71" s="4"/>
      <c r="D71" s="14">
        <v>3.8250000000000002</v>
      </c>
      <c r="E71" s="4" t="s">
        <v>163</v>
      </c>
      <c r="H71" s="110"/>
      <c r="I71" s="329">
        <v>2018</v>
      </c>
      <c r="J71" s="287"/>
      <c r="K71" s="287"/>
      <c r="L71" s="330">
        <v>1080</v>
      </c>
      <c r="M71" s="287"/>
      <c r="N71" s="287"/>
      <c r="O71" s="287"/>
      <c r="P71" s="322">
        <v>79</v>
      </c>
      <c r="Q71" s="287"/>
      <c r="R71" s="287"/>
      <c r="S71" s="287"/>
      <c r="T71" s="331">
        <v>0.28999999999999998</v>
      </c>
      <c r="U71" s="287"/>
      <c r="V71" s="287"/>
      <c r="W71" s="287"/>
      <c r="X71" s="333">
        <v>27</v>
      </c>
      <c r="Y71" s="287"/>
    </row>
    <row r="72" spans="2:25" ht="12.5">
      <c r="B72" s="109"/>
      <c r="C72" s="334" t="s">
        <v>463</v>
      </c>
      <c r="H72" s="110"/>
      <c r="L72" s="184">
        <f>SUM(L68:L71)</f>
        <v>8566</v>
      </c>
      <c r="M72" s="4" t="s">
        <v>287</v>
      </c>
    </row>
    <row r="73" spans="2:25" ht="18">
      <c r="B73" s="113"/>
      <c r="C73" s="335" t="s">
        <v>207</v>
      </c>
      <c r="D73" s="114"/>
      <c r="E73" s="114"/>
      <c r="F73" s="114"/>
      <c r="G73" s="114"/>
      <c r="H73" s="115"/>
      <c r="L73" s="187">
        <v>359772011.47741997</v>
      </c>
      <c r="M73" s="4" t="s">
        <v>154</v>
      </c>
    </row>
    <row r="74" spans="2:25" ht="12.5">
      <c r="C74" s="4"/>
      <c r="L74" s="207">
        <f>L73/D70</f>
        <v>1.7132000057058092</v>
      </c>
      <c r="M74" s="4" t="s">
        <v>258</v>
      </c>
    </row>
    <row r="75" spans="2:25" ht="12.5">
      <c r="C75" s="4"/>
    </row>
    <row r="76" spans="2:25" ht="12.5">
      <c r="B76" s="105">
        <v>2013</v>
      </c>
      <c r="C76" s="106"/>
      <c r="D76" s="107"/>
      <c r="E76" s="107"/>
      <c r="F76" s="107"/>
      <c r="G76" s="107"/>
      <c r="H76" s="108"/>
    </row>
    <row r="77" spans="2:25" ht="12.5">
      <c r="B77" s="336" t="s">
        <v>465</v>
      </c>
      <c r="C77" s="4"/>
      <c r="H77" s="110"/>
    </row>
    <row r="78" spans="2:25" ht="12.5">
      <c r="B78" s="109"/>
      <c r="C78" s="4"/>
      <c r="H78" s="110"/>
      <c r="I78" s="337"/>
      <c r="J78" s="1005" t="s">
        <v>466</v>
      </c>
      <c r="K78" s="996"/>
      <c r="L78" s="337"/>
      <c r="M78" s="337"/>
      <c r="N78" s="1005" t="s">
        <v>457</v>
      </c>
      <c r="O78" s="996"/>
      <c r="P78" s="337"/>
      <c r="Q78" s="337"/>
      <c r="R78" s="1005" t="s">
        <v>468</v>
      </c>
      <c r="S78" s="996"/>
      <c r="T78" s="337"/>
    </row>
    <row r="79" spans="2:25" ht="12.5">
      <c r="B79" s="109"/>
      <c r="C79" s="155">
        <v>50538959</v>
      </c>
      <c r="D79" s="4" t="s">
        <v>469</v>
      </c>
      <c r="E79" s="4" t="s">
        <v>470</v>
      </c>
      <c r="H79" s="110"/>
      <c r="I79" s="996"/>
      <c r="J79" s="996"/>
      <c r="K79" s="996"/>
      <c r="L79" s="996"/>
      <c r="M79" s="996"/>
      <c r="N79" s="996"/>
      <c r="O79" s="996"/>
      <c r="P79" s="996"/>
      <c r="Q79" s="996"/>
      <c r="R79" s="996"/>
      <c r="S79" s="996"/>
      <c r="T79" s="996"/>
      <c r="U79" s="339"/>
    </row>
    <row r="80" spans="2:25" ht="12.5">
      <c r="B80" s="109"/>
      <c r="C80" s="4">
        <v>158667219</v>
      </c>
      <c r="D80" s="4" t="s">
        <v>154</v>
      </c>
      <c r="H80" s="110"/>
      <c r="I80" s="340">
        <v>2014</v>
      </c>
      <c r="J80" s="341"/>
      <c r="K80" s="341"/>
      <c r="L80" s="342">
        <v>1284</v>
      </c>
      <c r="M80" s="341"/>
      <c r="N80" s="341"/>
      <c r="O80" s="341"/>
      <c r="P80" s="343">
        <v>91</v>
      </c>
      <c r="Q80" s="341"/>
      <c r="R80" s="341"/>
      <c r="S80" s="341"/>
      <c r="T80" s="345">
        <v>0.25</v>
      </c>
      <c r="U80" s="341"/>
    </row>
    <row r="81" spans="2:21" ht="12.5">
      <c r="B81" s="109"/>
      <c r="C81" s="14">
        <v>3.9220000000000002</v>
      </c>
      <c r="D81" s="4" t="s">
        <v>163</v>
      </c>
      <c r="H81" s="110"/>
      <c r="I81" s="347">
        <v>2015</v>
      </c>
      <c r="J81" s="337"/>
      <c r="K81" s="337"/>
      <c r="L81" s="349">
        <v>1920</v>
      </c>
      <c r="M81" s="337"/>
      <c r="N81" s="337"/>
      <c r="O81" s="337"/>
      <c r="P81" s="338">
        <v>89</v>
      </c>
      <c r="Q81" s="337"/>
      <c r="R81" s="337"/>
      <c r="S81" s="337"/>
      <c r="T81" s="351">
        <v>0.48</v>
      </c>
      <c r="U81" s="337"/>
    </row>
    <row r="82" spans="2:21" ht="12.5">
      <c r="B82" s="109"/>
      <c r="C82" s="4">
        <f>C81*C80</f>
        <v>622292832.91799998</v>
      </c>
      <c r="D82" s="4" t="s">
        <v>164</v>
      </c>
      <c r="H82" s="110"/>
      <c r="I82" s="340">
        <v>2016</v>
      </c>
      <c r="J82" s="341"/>
      <c r="K82" s="341"/>
      <c r="L82" s="342">
        <v>2400</v>
      </c>
      <c r="M82" s="341"/>
      <c r="N82" s="341"/>
      <c r="O82" s="341"/>
      <c r="P82" s="354">
        <v>84</v>
      </c>
      <c r="Q82" s="341"/>
      <c r="R82" s="341"/>
      <c r="S82" s="341"/>
      <c r="T82" s="345">
        <v>0.56000000000000005</v>
      </c>
      <c r="U82" s="341"/>
    </row>
    <row r="83" spans="2:21" ht="12.5">
      <c r="B83" s="109"/>
      <c r="C83" s="4"/>
      <c r="H83" s="110"/>
      <c r="I83" s="347">
        <v>2017</v>
      </c>
      <c r="J83" s="337"/>
      <c r="K83" s="337"/>
      <c r="L83" s="349">
        <v>1440</v>
      </c>
      <c r="M83" s="337"/>
      <c r="N83" s="337"/>
      <c r="O83" s="337"/>
      <c r="P83" s="338">
        <v>82</v>
      </c>
      <c r="Q83" s="337"/>
      <c r="R83" s="337"/>
      <c r="S83" s="337"/>
      <c r="T83" s="351">
        <v>0.33</v>
      </c>
      <c r="U83" s="337"/>
    </row>
    <row r="84" spans="2:21" ht="12.5">
      <c r="B84" s="113"/>
      <c r="C84" s="355" t="s">
        <v>480</v>
      </c>
      <c r="D84" s="114"/>
      <c r="E84" s="114"/>
      <c r="F84" s="114"/>
      <c r="G84" s="114"/>
      <c r="H84" s="115"/>
      <c r="I84" s="340">
        <v>2018</v>
      </c>
      <c r="J84" s="341"/>
      <c r="K84" s="341"/>
      <c r="L84" s="354">
        <v>600</v>
      </c>
      <c r="M84" s="341"/>
      <c r="N84" s="341"/>
      <c r="O84" s="341"/>
      <c r="P84" s="354">
        <v>81</v>
      </c>
      <c r="Q84" s="341"/>
      <c r="R84" s="341"/>
      <c r="S84" s="341"/>
      <c r="T84" s="345">
        <v>0.17</v>
      </c>
      <c r="U84" s="341"/>
    </row>
    <row r="85" spans="2:21" ht="12.5">
      <c r="C85" s="4"/>
      <c r="I85" s="996"/>
      <c r="J85" s="996"/>
      <c r="K85" s="996"/>
      <c r="L85" s="996"/>
      <c r="M85" s="996"/>
      <c r="N85" s="996"/>
      <c r="O85" s="996"/>
      <c r="P85" s="996"/>
      <c r="Q85" s="996"/>
      <c r="R85" s="996"/>
      <c r="S85" s="996"/>
      <c r="T85" s="996"/>
    </row>
    <row r="86" spans="2:21" ht="12.5">
      <c r="C86" s="4"/>
      <c r="I86" s="356"/>
      <c r="L86" s="184">
        <f>L80+L81+L82+L83+L84</f>
        <v>7644</v>
      </c>
      <c r="M86" s="4" t="s">
        <v>287</v>
      </c>
    </row>
    <row r="87" spans="2:21" ht="14">
      <c r="C87" s="4"/>
      <c r="L87" s="357">
        <v>321048010.24204999</v>
      </c>
      <c r="M87" s="4" t="s">
        <v>154</v>
      </c>
    </row>
    <row r="88" spans="2:21" ht="12.5">
      <c r="C88" s="4"/>
      <c r="L88" s="207">
        <f>L87/C80</f>
        <v>2.0234047855975215</v>
      </c>
      <c r="M88" s="4" t="s">
        <v>258</v>
      </c>
    </row>
    <row r="89" spans="2:21" ht="12.5">
      <c r="C89" s="4"/>
    </row>
    <row r="90" spans="2:21" ht="12.5">
      <c r="C90" s="4"/>
    </row>
    <row r="91" spans="2:21" ht="12.5">
      <c r="C91" s="4"/>
    </row>
    <row r="92" spans="2:21" ht="12.5">
      <c r="B92" s="139"/>
      <c r="C92" s="106"/>
      <c r="D92" s="107"/>
      <c r="E92" s="107"/>
      <c r="F92" s="107"/>
      <c r="G92" s="108"/>
    </row>
    <row r="93" spans="2:21" ht="12.5">
      <c r="B93" s="71">
        <v>2012</v>
      </c>
      <c r="C93" s="359" t="s">
        <v>491</v>
      </c>
      <c r="G93" s="110"/>
    </row>
    <row r="94" spans="2:21" ht="12.5">
      <c r="B94" s="109"/>
      <c r="C94" s="4"/>
      <c r="G94" s="110"/>
    </row>
    <row r="95" spans="2:21" ht="13">
      <c r="B95" s="109"/>
      <c r="C95" s="4" t="s">
        <v>493</v>
      </c>
      <c r="G95" s="110"/>
      <c r="H95" s="360"/>
      <c r="I95" s="360"/>
      <c r="J95" s="1005" t="s">
        <v>494</v>
      </c>
      <c r="K95" s="996"/>
      <c r="L95" s="360"/>
      <c r="M95" s="360"/>
      <c r="N95" s="1005" t="s">
        <v>457</v>
      </c>
      <c r="O95" s="996"/>
      <c r="P95" s="360"/>
      <c r="Q95" s="360"/>
      <c r="R95" s="1005" t="s">
        <v>458</v>
      </c>
      <c r="S95" s="996"/>
      <c r="T95" s="360"/>
    </row>
    <row r="96" spans="2:21" ht="13">
      <c r="B96" s="109"/>
      <c r="C96" s="4" t="s">
        <v>496</v>
      </c>
      <c r="G96" s="110"/>
      <c r="H96" s="323">
        <v>2013</v>
      </c>
      <c r="I96" s="361"/>
      <c r="J96" s="361"/>
      <c r="K96" s="324">
        <v>2354</v>
      </c>
      <c r="L96" s="361"/>
      <c r="M96" s="361"/>
      <c r="N96" s="362" t="s">
        <v>296</v>
      </c>
      <c r="O96" s="325">
        <v>91</v>
      </c>
      <c r="P96" s="361"/>
      <c r="Q96" s="361"/>
      <c r="R96" s="361"/>
      <c r="S96" s="327">
        <v>0.41</v>
      </c>
      <c r="T96" s="361"/>
    </row>
    <row r="97" spans="1:20" ht="13">
      <c r="B97" s="109"/>
      <c r="C97" s="54">
        <v>183114933</v>
      </c>
      <c r="D97" s="4" t="s">
        <v>154</v>
      </c>
      <c r="G97" s="110"/>
      <c r="H97" s="329">
        <v>2014</v>
      </c>
      <c r="I97" s="360"/>
      <c r="J97" s="360"/>
      <c r="K97" s="330">
        <v>1500</v>
      </c>
      <c r="L97" s="360"/>
      <c r="M97" s="360"/>
      <c r="N97" s="360"/>
      <c r="O97" s="322">
        <v>95</v>
      </c>
      <c r="P97" s="360"/>
      <c r="Q97" s="360"/>
      <c r="R97" s="360"/>
      <c r="S97" s="331">
        <v>0.28000000000000003</v>
      </c>
      <c r="T97" s="360"/>
    </row>
    <row r="98" spans="1:20" ht="13">
      <c r="B98" s="109"/>
      <c r="C98" s="14">
        <v>3.968</v>
      </c>
      <c r="D98" s="4" t="s">
        <v>163</v>
      </c>
      <c r="G98" s="110"/>
      <c r="H98" s="323">
        <v>2015</v>
      </c>
      <c r="I98" s="361"/>
      <c r="J98" s="361"/>
      <c r="K98" s="325">
        <v>960</v>
      </c>
      <c r="L98" s="361"/>
      <c r="M98" s="361"/>
      <c r="N98" s="361"/>
      <c r="O98" s="325">
        <v>92</v>
      </c>
      <c r="P98" s="361"/>
      <c r="Q98" s="361"/>
      <c r="R98" s="361"/>
      <c r="S98" s="327">
        <v>0.21</v>
      </c>
      <c r="T98" s="361"/>
    </row>
    <row r="99" spans="1:20" ht="13">
      <c r="B99" s="109"/>
      <c r="C99" s="4">
        <f>C97*C98</f>
        <v>726600054.14400005</v>
      </c>
      <c r="D99" s="4" t="s">
        <v>164</v>
      </c>
      <c r="G99" s="110"/>
      <c r="H99" s="364"/>
      <c r="I99" s="360"/>
      <c r="J99" s="360"/>
      <c r="K99" s="365">
        <v>4814000</v>
      </c>
      <c r="L99" s="366" t="s">
        <v>287</v>
      </c>
      <c r="M99" s="360"/>
      <c r="N99" s="367" t="s">
        <v>296</v>
      </c>
      <c r="O99" s="322">
        <v>93</v>
      </c>
      <c r="P99" s="360"/>
      <c r="Q99" s="360"/>
      <c r="R99" s="360"/>
      <c r="S99" s="331">
        <v>0.31</v>
      </c>
    </row>
    <row r="100" spans="1:20" ht="14">
      <c r="B100" s="109"/>
      <c r="C100" s="4"/>
      <c r="G100" s="110"/>
      <c r="H100" s="182"/>
      <c r="K100" s="357">
        <v>202188006.45019001</v>
      </c>
      <c r="L100" s="4" t="s">
        <v>171</v>
      </c>
    </row>
    <row r="101" spans="1:20" ht="13">
      <c r="B101" s="109"/>
      <c r="C101" s="368" t="s">
        <v>499</v>
      </c>
      <c r="D101" s="368"/>
      <c r="E101" s="368"/>
      <c r="F101" s="368"/>
      <c r="G101" s="369"/>
      <c r="K101" s="207">
        <f>K100/C97</f>
        <v>1.1041590280907894</v>
      </c>
      <c r="L101" s="370" t="s">
        <v>258</v>
      </c>
      <c r="M101" s="368"/>
      <c r="N101" s="368"/>
      <c r="O101" s="360"/>
    </row>
    <row r="102" spans="1:20" ht="13">
      <c r="B102" s="109"/>
      <c r="C102" s="372"/>
      <c r="D102" s="322" t="s">
        <v>494</v>
      </c>
      <c r="E102" s="322" t="s">
        <v>457</v>
      </c>
      <c r="F102" s="360"/>
      <c r="G102" s="373" t="s">
        <v>458</v>
      </c>
      <c r="N102" s="322"/>
      <c r="O102" s="360"/>
    </row>
    <row r="103" spans="1:20" ht="13">
      <c r="B103" s="109"/>
      <c r="C103" s="323">
        <v>2013</v>
      </c>
      <c r="D103" s="324">
        <v>2354</v>
      </c>
      <c r="E103" s="325">
        <v>91</v>
      </c>
      <c r="F103" s="361"/>
      <c r="G103" s="374">
        <v>0.41</v>
      </c>
    </row>
    <row r="104" spans="1:20" ht="13">
      <c r="B104" s="109"/>
      <c r="C104" s="375"/>
      <c r="G104" s="110"/>
    </row>
    <row r="105" spans="1:20" ht="12.5">
      <c r="B105" s="113"/>
      <c r="C105" s="376" t="s">
        <v>501</v>
      </c>
      <c r="D105" s="114"/>
      <c r="E105" s="114"/>
      <c r="F105" s="114"/>
      <c r="G105" s="115"/>
    </row>
    <row r="106" spans="1:20" ht="13">
      <c r="C106" s="375"/>
    </row>
    <row r="107" spans="1:20" ht="12.5">
      <c r="C107" s="4"/>
    </row>
    <row r="108" spans="1:20" ht="12.5">
      <c r="A108" s="139"/>
      <c r="B108" s="107"/>
      <c r="C108" s="377" t="s">
        <v>193</v>
      </c>
      <c r="D108" s="107"/>
      <c r="E108" s="107"/>
      <c r="F108" s="107"/>
      <c r="G108" s="107"/>
      <c r="H108" s="107"/>
      <c r="I108" s="108"/>
    </row>
    <row r="109" spans="1:20" ht="12.5">
      <c r="A109" s="71">
        <v>2011</v>
      </c>
      <c r="B109" s="4" t="s">
        <v>504</v>
      </c>
      <c r="C109" s="4" t="s">
        <v>505</v>
      </c>
      <c r="I109" s="110"/>
    </row>
    <row r="110" spans="1:20" ht="12.5">
      <c r="A110" s="71" t="s">
        <v>506</v>
      </c>
      <c r="I110" s="110"/>
    </row>
    <row r="111" spans="1:20" ht="12.5">
      <c r="A111" s="109"/>
      <c r="F111" s="67">
        <v>152020202</v>
      </c>
      <c r="G111" s="54" t="s">
        <v>507</v>
      </c>
      <c r="I111" s="110"/>
    </row>
    <row r="112" spans="1:20" ht="12.5">
      <c r="A112" s="109"/>
      <c r="F112" s="4">
        <v>3600000</v>
      </c>
      <c r="G112" s="4" t="s">
        <v>287</v>
      </c>
      <c r="I112" s="110"/>
    </row>
    <row r="113" spans="1:15" ht="12.5">
      <c r="A113" s="109"/>
      <c r="B113" s="167" t="s">
        <v>508</v>
      </c>
      <c r="I113" s="110"/>
    </row>
    <row r="114" spans="1:15" ht="12.5">
      <c r="A114" s="109"/>
      <c r="B114" s="167" t="s">
        <v>509</v>
      </c>
      <c r="I114" s="110"/>
    </row>
    <row r="115" spans="1:15" ht="12.5">
      <c r="A115" s="109"/>
      <c r="I115" s="110"/>
    </row>
    <row r="116" spans="1:15" ht="12.5">
      <c r="A116" s="109"/>
      <c r="B116" s="20" t="s">
        <v>510</v>
      </c>
      <c r="I116" s="110"/>
    </row>
    <row r="117" spans="1:15" ht="12.5">
      <c r="A117" s="109"/>
      <c r="E117" s="4" t="s">
        <v>511</v>
      </c>
      <c r="F117" s="4" t="s">
        <v>154</v>
      </c>
      <c r="I117" s="110"/>
    </row>
    <row r="118" spans="1:15" ht="13">
      <c r="A118" s="109"/>
      <c r="B118" s="378" t="s">
        <v>512</v>
      </c>
      <c r="C118" s="360"/>
      <c r="D118" s="360"/>
      <c r="E118" s="379">
        <v>1939</v>
      </c>
      <c r="F118" s="379">
        <v>81438000</v>
      </c>
      <c r="I118" s="110"/>
    </row>
    <row r="119" spans="1:15" ht="13">
      <c r="A119" s="381">
        <v>2012</v>
      </c>
      <c r="B119" s="382"/>
      <c r="C119" s="382"/>
      <c r="D119" s="383">
        <v>2052</v>
      </c>
      <c r="E119" s="385" t="s">
        <v>296</v>
      </c>
      <c r="F119" s="387">
        <v>105</v>
      </c>
      <c r="G119" s="389">
        <v>0.46</v>
      </c>
      <c r="H119" s="391" t="s">
        <v>258</v>
      </c>
      <c r="I119" s="115"/>
    </row>
    <row r="122" spans="1:15" ht="13">
      <c r="C122" s="360"/>
      <c r="D122" s="360"/>
      <c r="E122" s="1005" t="s">
        <v>494</v>
      </c>
      <c r="F122" s="996"/>
      <c r="G122" s="360"/>
      <c r="H122" s="360"/>
      <c r="I122" s="1005" t="s">
        <v>457</v>
      </c>
      <c r="J122" s="996"/>
      <c r="K122" s="360"/>
      <c r="L122" s="360"/>
      <c r="M122" s="1005" t="s">
        <v>458</v>
      </c>
      <c r="N122" s="996"/>
      <c r="O122" s="360"/>
    </row>
    <row r="123" spans="1:15" ht="13">
      <c r="C123" s="323">
        <v>2012</v>
      </c>
      <c r="D123" s="361"/>
      <c r="E123" s="361"/>
      <c r="F123" s="324">
        <v>2052</v>
      </c>
      <c r="G123" s="361"/>
      <c r="H123" s="361"/>
      <c r="I123" s="362" t="s">
        <v>296</v>
      </c>
      <c r="J123" s="325">
        <v>105</v>
      </c>
      <c r="K123" s="361"/>
      <c r="L123" s="361"/>
      <c r="M123" s="361"/>
      <c r="N123" s="327">
        <v>0.46</v>
      </c>
      <c r="O123" s="361"/>
    </row>
    <row r="124" spans="1:15" ht="13">
      <c r="C124" s="329">
        <v>2013</v>
      </c>
      <c r="D124" s="360"/>
      <c r="E124" s="360"/>
      <c r="F124" s="330">
        <v>1910</v>
      </c>
      <c r="G124" s="360"/>
      <c r="H124" s="360"/>
      <c r="I124" s="360"/>
      <c r="J124" s="322">
        <v>87</v>
      </c>
      <c r="K124" s="360"/>
      <c r="L124" s="360"/>
      <c r="M124" s="360"/>
      <c r="N124" s="331">
        <v>0.41</v>
      </c>
      <c r="O124" s="360"/>
    </row>
    <row r="125" spans="1:15" ht="13">
      <c r="C125" s="323">
        <v>2014</v>
      </c>
      <c r="D125" s="361"/>
      <c r="E125" s="361"/>
      <c r="F125" s="324">
        <v>1020</v>
      </c>
      <c r="G125" s="361"/>
      <c r="H125" s="361"/>
      <c r="I125" s="361"/>
      <c r="J125" s="325">
        <v>96</v>
      </c>
      <c r="K125" s="361"/>
      <c r="L125" s="361"/>
      <c r="M125" s="361"/>
      <c r="N125" s="327">
        <v>0.24</v>
      </c>
      <c r="O125" s="361"/>
    </row>
    <row r="126" spans="1:15" ht="13">
      <c r="C126" s="364"/>
      <c r="D126" s="360"/>
      <c r="E126" s="360"/>
      <c r="F126" s="365">
        <v>4982000</v>
      </c>
      <c r="G126" s="366" t="s">
        <v>287</v>
      </c>
      <c r="H126" s="360"/>
      <c r="I126" s="367" t="s">
        <v>296</v>
      </c>
      <c r="J126" s="322">
        <v>96</v>
      </c>
      <c r="K126" s="360"/>
      <c r="L126" s="360"/>
      <c r="M126" s="360"/>
      <c r="N126" s="331">
        <v>0.4</v>
      </c>
    </row>
    <row r="127" spans="1:15" ht="18">
      <c r="C127" s="182"/>
      <c r="F127" s="187">
        <v>209244006.67528999</v>
      </c>
      <c r="G127" s="4" t="s">
        <v>154</v>
      </c>
      <c r="H127" s="4" t="s">
        <v>258</v>
      </c>
      <c r="I127" s="207">
        <f>F127/F111</f>
        <v>1.3764223696748541</v>
      </c>
    </row>
    <row r="129" spans="1:10" ht="12.5">
      <c r="A129" s="105">
        <v>2010</v>
      </c>
      <c r="B129" s="395" t="s">
        <v>518</v>
      </c>
      <c r="C129" s="107"/>
      <c r="D129" s="107"/>
      <c r="E129" s="107"/>
      <c r="F129" s="107"/>
      <c r="G129" s="107"/>
      <c r="H129" s="225" t="s">
        <v>522</v>
      </c>
      <c r="I129" s="108"/>
    </row>
    <row r="130" spans="1:10" ht="12.5">
      <c r="A130" s="71" t="s">
        <v>506</v>
      </c>
      <c r="B130" s="20" t="s">
        <v>524</v>
      </c>
      <c r="I130" s="110"/>
    </row>
    <row r="131" spans="1:10" ht="12.5">
      <c r="A131" s="109"/>
      <c r="I131" s="110"/>
    </row>
    <row r="132" spans="1:10" ht="12.5">
      <c r="A132" s="109"/>
      <c r="B132" s="4" t="s">
        <v>526</v>
      </c>
      <c r="I132" s="110"/>
    </row>
    <row r="133" spans="1:10" ht="12.5">
      <c r="A133" s="109"/>
      <c r="B133" s="20" t="s">
        <v>181</v>
      </c>
      <c r="I133" s="110"/>
    </row>
    <row r="134" spans="1:10" ht="12.5">
      <c r="A134" s="109"/>
      <c r="B134" s="4" t="s">
        <v>528</v>
      </c>
      <c r="D134" s="4" t="s">
        <v>529</v>
      </c>
      <c r="F134" s="4" t="s">
        <v>285</v>
      </c>
      <c r="I134" s="110"/>
    </row>
    <row r="135" spans="1:10" ht="12.5">
      <c r="A135" s="109"/>
      <c r="B135" s="4">
        <v>126781326</v>
      </c>
      <c r="C135" s="4" t="s">
        <v>171</v>
      </c>
      <c r="D135" s="118">
        <v>14685792</v>
      </c>
      <c r="F135" s="84">
        <f>D135+B135</f>
        <v>141467118</v>
      </c>
      <c r="I135" s="110"/>
    </row>
    <row r="136" spans="1:10" ht="12.5">
      <c r="A136" s="71" t="s">
        <v>163</v>
      </c>
      <c r="B136" s="14">
        <v>2.992</v>
      </c>
      <c r="D136" s="29">
        <v>2.79</v>
      </c>
      <c r="I136" s="110"/>
    </row>
    <row r="137" spans="1:10" ht="12.5">
      <c r="A137" s="71" t="s">
        <v>164</v>
      </c>
      <c r="B137">
        <f>B136*B135</f>
        <v>379329727.39200002</v>
      </c>
      <c r="D137">
        <f>D136*D135</f>
        <v>40973359.68</v>
      </c>
      <c r="F137" s="34">
        <f>D137+B137</f>
        <v>420303087.07200003</v>
      </c>
      <c r="I137" s="110"/>
    </row>
    <row r="138" spans="1:10" ht="12.5">
      <c r="A138" s="109"/>
      <c r="B138" s="225" t="s">
        <v>533</v>
      </c>
      <c r="I138" s="110"/>
    </row>
    <row r="139" spans="1:10" ht="12.5">
      <c r="A139" s="113"/>
      <c r="B139" s="335" t="s">
        <v>534</v>
      </c>
      <c r="C139" s="114"/>
      <c r="D139" s="114"/>
      <c r="E139" s="114"/>
      <c r="F139" s="114"/>
      <c r="G139" s="114"/>
      <c r="H139" s="114"/>
      <c r="I139" s="115"/>
    </row>
    <row r="141" spans="1:10" ht="13">
      <c r="B141" s="402" t="s">
        <v>537</v>
      </c>
      <c r="C141" s="403"/>
      <c r="D141" s="996"/>
      <c r="E141" s="996"/>
      <c r="F141" s="403"/>
      <c r="G141" s="402" t="s">
        <v>539</v>
      </c>
      <c r="H141" s="403"/>
    </row>
    <row r="142" spans="1:10" ht="13">
      <c r="B142" s="403"/>
      <c r="C142" s="403"/>
      <c r="D142" s="404" t="s">
        <v>540</v>
      </c>
      <c r="E142" s="403"/>
      <c r="F142" s="1019" t="s">
        <v>457</v>
      </c>
      <c r="G142" s="1008"/>
      <c r="H142" s="403"/>
      <c r="I142" s="404" t="s">
        <v>541</v>
      </c>
      <c r="J142" s="403"/>
    </row>
    <row r="143" spans="1:10" ht="13">
      <c r="B143" s="405">
        <v>2011</v>
      </c>
      <c r="C143" s="406"/>
      <c r="D143" s="407">
        <v>2394</v>
      </c>
      <c r="E143" s="406"/>
      <c r="F143" s="405" t="s">
        <v>296</v>
      </c>
      <c r="G143" s="408">
        <v>94</v>
      </c>
      <c r="H143" s="406"/>
      <c r="I143" s="409">
        <v>56</v>
      </c>
      <c r="J143" s="405" t="s">
        <v>523</v>
      </c>
    </row>
    <row r="144" spans="1:10" ht="13">
      <c r="B144" s="410">
        <v>2012</v>
      </c>
      <c r="C144" s="403"/>
      <c r="D144" s="411">
        <v>1273</v>
      </c>
      <c r="E144" s="403"/>
      <c r="F144" s="1021">
        <v>83</v>
      </c>
      <c r="G144" s="996"/>
      <c r="H144" s="403"/>
      <c r="I144" s="412">
        <v>38</v>
      </c>
      <c r="J144" s="410" t="s">
        <v>523</v>
      </c>
    </row>
    <row r="145" spans="1:12" ht="13">
      <c r="B145" s="405">
        <v>2013</v>
      </c>
      <c r="C145" s="406"/>
      <c r="D145" s="413">
        <v>1068</v>
      </c>
      <c r="E145" s="406"/>
      <c r="F145" s="1020">
        <v>78</v>
      </c>
      <c r="G145" s="1008"/>
      <c r="H145" s="406"/>
      <c r="I145" s="415">
        <v>30</v>
      </c>
      <c r="J145" s="405" t="s">
        <v>523</v>
      </c>
    </row>
    <row r="146" spans="1:12" ht="13">
      <c r="B146" s="403"/>
      <c r="C146" s="403"/>
      <c r="D146" s="416">
        <v>4735</v>
      </c>
      <c r="E146" s="417" t="s">
        <v>287</v>
      </c>
      <c r="F146" s="419" t="s">
        <v>296</v>
      </c>
      <c r="G146" s="421">
        <v>88</v>
      </c>
      <c r="H146" s="403"/>
      <c r="I146" s="422">
        <v>42</v>
      </c>
      <c r="J146" s="410" t="s">
        <v>523</v>
      </c>
    </row>
    <row r="148" spans="1:12" ht="13">
      <c r="D148" s="4" t="s">
        <v>171</v>
      </c>
      <c r="E148" s="423">
        <v>198870006.34433001</v>
      </c>
      <c r="F148" s="4" t="s">
        <v>258</v>
      </c>
    </row>
    <row r="149" spans="1:12" ht="12.5">
      <c r="F149" s="207">
        <f>E148/F135</f>
        <v>1.4057684156987633</v>
      </c>
    </row>
    <row r="151" spans="1:12" ht="12.5">
      <c r="A151" s="105">
        <v>2009</v>
      </c>
      <c r="B151" s="107"/>
      <c r="C151" s="107"/>
      <c r="D151" s="107"/>
      <c r="E151" s="106" t="s">
        <v>287</v>
      </c>
      <c r="F151" s="106" t="s">
        <v>154</v>
      </c>
      <c r="G151" s="107"/>
      <c r="H151" s="107"/>
      <c r="I151" s="107"/>
      <c r="J151" s="225" t="s">
        <v>551</v>
      </c>
      <c r="K151" s="107"/>
      <c r="L151" s="108"/>
    </row>
    <row r="152" spans="1:12" ht="13">
      <c r="A152" s="109"/>
      <c r="B152" s="405" t="s">
        <v>552</v>
      </c>
      <c r="C152" s="424"/>
      <c r="D152" s="1018">
        <v>2355</v>
      </c>
      <c r="E152" s="996"/>
      <c r="F152" s="1018">
        <v>98910000</v>
      </c>
      <c r="G152" s="996"/>
      <c r="J152" s="54">
        <v>213</v>
      </c>
      <c r="L152" s="110"/>
    </row>
    <row r="153" spans="1:12" ht="12.5">
      <c r="A153" s="109"/>
      <c r="B153" s="20" t="s">
        <v>175</v>
      </c>
      <c r="L153" s="110"/>
    </row>
    <row r="154" spans="1:12" ht="12.5">
      <c r="A154" s="109"/>
      <c r="B154" s="1017" t="s">
        <v>555</v>
      </c>
      <c r="C154" s="996"/>
      <c r="D154" s="996"/>
      <c r="E154" s="996"/>
      <c r="F154" s="996"/>
      <c r="G154" s="996"/>
      <c r="H154" s="996"/>
      <c r="I154" s="996"/>
      <c r="J154" s="996"/>
      <c r="K154" s="996"/>
      <c r="L154" s="998"/>
    </row>
    <row r="155" spans="1:12" ht="12.5">
      <c r="A155" s="109"/>
      <c r="B155" s="996"/>
      <c r="C155" s="996"/>
      <c r="D155" s="996"/>
      <c r="E155" s="996"/>
      <c r="F155" s="996"/>
      <c r="G155" s="996"/>
      <c r="H155" s="996"/>
      <c r="I155" s="996"/>
      <c r="J155" s="996"/>
      <c r="K155" s="996"/>
      <c r="L155" s="998"/>
    </row>
    <row r="156" spans="1:12" ht="12.5">
      <c r="A156" s="109"/>
      <c r="B156" s="996"/>
      <c r="C156" s="996"/>
      <c r="D156" s="996"/>
      <c r="E156" s="996"/>
      <c r="F156" s="996"/>
      <c r="G156" s="996"/>
      <c r="H156" s="996"/>
      <c r="I156" s="996"/>
      <c r="J156" s="996"/>
      <c r="K156" s="996"/>
      <c r="L156" s="998"/>
    </row>
    <row r="157" spans="1:12" ht="12.5">
      <c r="A157" s="109"/>
      <c r="B157" s="996"/>
      <c r="C157" s="996"/>
      <c r="D157" s="996"/>
      <c r="E157" s="996"/>
      <c r="F157" s="996"/>
      <c r="G157" s="996"/>
      <c r="H157" s="996"/>
      <c r="I157" s="996"/>
      <c r="J157" s="996"/>
      <c r="K157" s="996"/>
      <c r="L157" s="998"/>
    </row>
    <row r="158" spans="1:12" ht="12.5">
      <c r="A158" s="109"/>
      <c r="B158" s="996"/>
      <c r="C158" s="996"/>
      <c r="D158" s="996"/>
      <c r="E158" s="996"/>
      <c r="F158" s="996"/>
      <c r="G158" s="996"/>
      <c r="H158" s="996"/>
      <c r="I158" s="996"/>
      <c r="J158" s="996"/>
      <c r="K158" s="996"/>
      <c r="L158" s="998"/>
    </row>
    <row r="159" spans="1:12" ht="12.5">
      <c r="A159" s="109"/>
      <c r="L159" s="110"/>
    </row>
    <row r="160" spans="1:12" ht="12.5">
      <c r="A160" s="109"/>
      <c r="B160" s="4" t="s">
        <v>557</v>
      </c>
      <c r="D160" s="20" t="s">
        <v>558</v>
      </c>
      <c r="L160" s="110"/>
    </row>
    <row r="161" spans="1:12" ht="12.5">
      <c r="A161" s="109"/>
      <c r="B161" s="4" t="s">
        <v>154</v>
      </c>
      <c r="C161" s="429">
        <v>193347525</v>
      </c>
      <c r="D161" s="4"/>
      <c r="L161" s="110"/>
    </row>
    <row r="162" spans="1:12" ht="12.5">
      <c r="A162" s="109"/>
      <c r="B162" s="4" t="s">
        <v>287</v>
      </c>
      <c r="C162" s="429">
        <v>4603513</v>
      </c>
      <c r="D162" s="4" t="s">
        <v>562</v>
      </c>
      <c r="G162" s="225" t="s">
        <v>563</v>
      </c>
      <c r="L162" s="110"/>
    </row>
    <row r="163" spans="1:12" ht="12.5">
      <c r="A163" s="109"/>
      <c r="G163" s="20" t="s">
        <v>564</v>
      </c>
      <c r="L163" s="110"/>
    </row>
    <row r="164" spans="1:12" ht="13">
      <c r="A164" s="109"/>
      <c r="B164" s="430" t="s">
        <v>499</v>
      </c>
      <c r="K164" s="4" t="s">
        <v>566</v>
      </c>
      <c r="L164" s="110"/>
    </row>
    <row r="165" spans="1:12" ht="12.5">
      <c r="A165" s="109"/>
      <c r="B165" s="432"/>
      <c r="C165" s="432"/>
      <c r="D165" s="435" t="s">
        <v>537</v>
      </c>
      <c r="E165" s="432"/>
      <c r="F165" s="996"/>
      <c r="G165" s="996"/>
      <c r="H165" s="432"/>
      <c r="I165" s="435" t="s">
        <v>539</v>
      </c>
      <c r="J165" s="432"/>
      <c r="L165" s="110"/>
    </row>
    <row r="166" spans="1:12" ht="12.5">
      <c r="A166" s="109"/>
      <c r="B166" s="432"/>
      <c r="C166" s="432"/>
      <c r="D166" s="436" t="s">
        <v>540</v>
      </c>
      <c r="E166" s="432"/>
      <c r="F166" s="1007" t="s">
        <v>457</v>
      </c>
      <c r="G166" s="1008"/>
      <c r="H166" s="432"/>
      <c r="I166" s="436" t="s">
        <v>541</v>
      </c>
      <c r="J166" s="432"/>
      <c r="L166" s="110"/>
    </row>
    <row r="167" spans="1:12" ht="13">
      <c r="A167" s="113"/>
      <c r="B167" s="437">
        <v>2010</v>
      </c>
      <c r="C167" s="439"/>
      <c r="D167" s="440">
        <v>2340</v>
      </c>
      <c r="E167" s="439"/>
      <c r="F167" s="437" t="s">
        <v>296</v>
      </c>
      <c r="G167" s="441">
        <v>101</v>
      </c>
      <c r="H167" s="439"/>
      <c r="I167" s="442">
        <v>60</v>
      </c>
      <c r="J167" s="437" t="s">
        <v>523</v>
      </c>
      <c r="K167" s="122" t="s">
        <v>572</v>
      </c>
      <c r="L167" s="115"/>
    </row>
    <row r="169" spans="1:12" ht="13">
      <c r="C169" s="430" t="s">
        <v>499</v>
      </c>
    </row>
    <row r="170" spans="1:12" ht="15.5">
      <c r="C170" s="443"/>
    </row>
    <row r="171" spans="1:12" ht="12.5">
      <c r="C171" s="432"/>
      <c r="D171" s="432"/>
      <c r="E171" s="435" t="s">
        <v>537</v>
      </c>
      <c r="F171" s="432"/>
      <c r="G171" s="996"/>
      <c r="H171" s="996"/>
      <c r="I171" s="432"/>
      <c r="J171" s="435" t="s">
        <v>539</v>
      </c>
      <c r="K171" s="432"/>
    </row>
    <row r="172" spans="1:12" ht="12.5">
      <c r="C172" s="432"/>
      <c r="D172" s="432"/>
      <c r="E172" s="436" t="s">
        <v>540</v>
      </c>
      <c r="F172" s="432"/>
      <c r="G172" s="1007" t="s">
        <v>457</v>
      </c>
      <c r="H172" s="1008"/>
      <c r="I172" s="432"/>
      <c r="J172" s="436" t="s">
        <v>541</v>
      </c>
      <c r="K172" s="432"/>
    </row>
    <row r="173" spans="1:12" ht="13">
      <c r="C173" s="444">
        <v>2010</v>
      </c>
      <c r="D173" s="445"/>
      <c r="E173" s="446">
        <v>2340</v>
      </c>
      <c r="F173" s="445"/>
      <c r="G173" s="444" t="s">
        <v>296</v>
      </c>
      <c r="H173" s="447">
        <v>101</v>
      </c>
      <c r="I173" s="445"/>
      <c r="J173" s="448">
        <v>60</v>
      </c>
      <c r="K173" s="444" t="s">
        <v>523</v>
      </c>
    </row>
    <row r="174" spans="1:12" ht="13">
      <c r="C174" s="449">
        <v>2011</v>
      </c>
      <c r="D174" s="432"/>
      <c r="E174" s="450">
        <v>804</v>
      </c>
      <c r="F174" s="432"/>
      <c r="G174" s="1009">
        <v>87</v>
      </c>
      <c r="H174" s="996"/>
      <c r="I174" s="432"/>
      <c r="J174" s="450">
        <v>20</v>
      </c>
      <c r="K174" s="449" t="s">
        <v>523</v>
      </c>
    </row>
    <row r="175" spans="1:12" ht="13">
      <c r="C175" s="444">
        <v>2012</v>
      </c>
      <c r="D175" s="445"/>
      <c r="E175" s="448">
        <v>590</v>
      </c>
      <c r="F175" s="445"/>
      <c r="G175" s="1011">
        <v>69</v>
      </c>
      <c r="H175" s="996"/>
      <c r="I175" s="445"/>
      <c r="J175" s="448">
        <v>16</v>
      </c>
      <c r="K175" s="444" t="s">
        <v>523</v>
      </c>
    </row>
    <row r="176" spans="1:12" ht="13">
      <c r="C176" s="449">
        <v>2013</v>
      </c>
      <c r="D176" s="432"/>
      <c r="E176" s="453">
        <v>440</v>
      </c>
      <c r="F176" s="432"/>
      <c r="G176" s="1010">
        <v>63</v>
      </c>
      <c r="H176" s="1008"/>
      <c r="I176" s="432"/>
      <c r="J176" s="453">
        <v>12</v>
      </c>
      <c r="K176" s="449" t="s">
        <v>523</v>
      </c>
    </row>
    <row r="177" spans="3:11" ht="13">
      <c r="C177" s="445"/>
      <c r="D177" s="445"/>
      <c r="E177" s="456">
        <v>4174</v>
      </c>
      <c r="F177" s="445"/>
      <c r="G177" s="458" t="s">
        <v>296</v>
      </c>
      <c r="H177" s="459">
        <v>90</v>
      </c>
      <c r="I177" s="445"/>
      <c r="J177" s="461">
        <v>27</v>
      </c>
      <c r="K177" s="444" t="s">
        <v>523</v>
      </c>
    </row>
    <row r="178" spans="3:11" ht="12.5">
      <c r="E178" s="4" t="s">
        <v>287</v>
      </c>
      <c r="F178" s="4" t="s">
        <v>171</v>
      </c>
      <c r="G178" s="4" t="s">
        <v>258</v>
      </c>
    </row>
    <row r="179" spans="3:11" ht="18">
      <c r="E179" s="4">
        <v>4174000</v>
      </c>
      <c r="F179" s="187">
        <v>175308005</v>
      </c>
      <c r="G179" s="207">
        <f>F179/C161</f>
        <v>0.90669898670800153</v>
      </c>
    </row>
  </sheetData>
  <mergeCells count="41">
    <mergeCell ref="D152:E152"/>
    <mergeCell ref="J67:K67"/>
    <mergeCell ref="N67:O67"/>
    <mergeCell ref="I122:J122"/>
    <mergeCell ref="D141:E141"/>
    <mergeCell ref="F142:G142"/>
    <mergeCell ref="F145:G145"/>
    <mergeCell ref="F144:G144"/>
    <mergeCell ref="E122:F122"/>
    <mergeCell ref="B4:C7"/>
    <mergeCell ref="M5:N5"/>
    <mergeCell ref="F166:G166"/>
    <mergeCell ref="B55:L59"/>
    <mergeCell ref="N78:O78"/>
    <mergeCell ref="I79:T79"/>
    <mergeCell ref="J95:K95"/>
    <mergeCell ref="N95:O95"/>
    <mergeCell ref="R95:S95"/>
    <mergeCell ref="J78:K78"/>
    <mergeCell ref="I85:T85"/>
    <mergeCell ref="B15:C17"/>
    <mergeCell ref="D15:I18"/>
    <mergeCell ref="M122:N122"/>
    <mergeCell ref="B154:L158"/>
    <mergeCell ref="G172:H172"/>
    <mergeCell ref="G174:H174"/>
    <mergeCell ref="G176:H176"/>
    <mergeCell ref="G175:H175"/>
    <mergeCell ref="F165:G165"/>
    <mergeCell ref="R78:S78"/>
    <mergeCell ref="U5:V5"/>
    <mergeCell ref="Y5:Z5"/>
    <mergeCell ref="Q5:R5"/>
    <mergeCell ref="G171:H171"/>
    <mergeCell ref="F152:G152"/>
    <mergeCell ref="O54:P54"/>
    <mergeCell ref="S54:T54"/>
    <mergeCell ref="AA54:AB54"/>
    <mergeCell ref="R67:S67"/>
    <mergeCell ref="W54:X54"/>
    <mergeCell ref="V67:W67"/>
  </mergeCells>
  <hyperlinks>
    <hyperlink ref="C1" r:id="rId1"/>
    <hyperlink ref="D5" r:id="rId2"/>
    <hyperlink ref="D12" r:id="rId3"/>
    <hyperlink ref="I26" r:id="rId4"/>
    <hyperlink ref="B51" r:id="rId5"/>
    <hyperlink ref="C73" r:id="rId6"/>
    <hyperlink ref="C108" r:id="rId7"/>
    <hyperlink ref="B116" r:id="rId8"/>
    <hyperlink ref="B130" r:id="rId9"/>
    <hyperlink ref="B133" r:id="rId10"/>
    <hyperlink ref="B139" r:id="rId11"/>
    <hyperlink ref="B153" r:id="rId12"/>
    <hyperlink ref="D160" r:id="rId13"/>
    <hyperlink ref="G163" r:id="rId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data</vt:lpstr>
      <vt:lpstr>sample</vt:lpstr>
      <vt:lpstr>diesel prices</vt:lpstr>
      <vt:lpstr>option calc</vt:lpstr>
      <vt:lpstr>heating oil</vt:lpstr>
      <vt:lpstr>agnico</vt:lpstr>
      <vt:lpstr>harmony</vt:lpstr>
      <vt:lpstr>iamgold</vt:lpstr>
      <vt:lpstr>barrick</vt:lpstr>
      <vt:lpstr>new gold</vt:lpstr>
      <vt:lpstr>anglogold</vt:lpstr>
      <vt:lpstr>gold fields</vt:lpstr>
      <vt:lpstr>goldcorp</vt:lpstr>
      <vt:lpstr>Kinross</vt:lpstr>
      <vt:lpstr>Newmont</vt:lpstr>
      <vt:lpstr>eldorado</vt:lpstr>
      <vt:lpstr>yamana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Wilhelmsen, Lise Marie</cp:lastModifiedBy>
  <dcterms:created xsi:type="dcterms:W3CDTF">2019-06-30T21:46:22Z</dcterms:created>
  <dcterms:modified xsi:type="dcterms:W3CDTF">2019-10-16T08:33:58Z</dcterms:modified>
</cp:coreProperties>
</file>