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2980" yWindow="0" windowWidth="25600" windowHeight="15520" tabRatio="605" activeTab="2"/>
  </bookViews>
  <sheets>
    <sheet name="Cleaned raw data receivers" sheetId="1" r:id="rId1"/>
    <sheet name="Raw data transporters" sheetId="15" r:id="rId2"/>
    <sheet name="Calculations" sheetId="14" r:id="rId3"/>
  </sheets>
  <externalReferences>
    <externalReference r:id="rId4"/>
  </externalReferences>
  <definedNames>
    <definedName name="_xlnm._FilterDatabase" localSheetId="0" hidden="1">'Cleaned raw data receivers'!$A$1:$CP$138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2" i="15" l="1"/>
  <c r="Z21" i="15"/>
  <c r="Z20" i="15"/>
  <c r="Z19" i="15"/>
  <c r="BO18" i="15"/>
  <c r="Z18" i="15"/>
  <c r="Z17" i="15"/>
  <c r="Z16" i="15"/>
  <c r="Z15" i="15"/>
  <c r="Z14" i="15"/>
  <c r="CH12" i="15"/>
  <c r="BW2" i="15"/>
  <c r="BW3" i="15"/>
  <c r="BW4" i="15"/>
  <c r="BW9" i="15"/>
  <c r="BW10" i="15"/>
  <c r="BW11" i="15"/>
  <c r="BR4" i="15"/>
  <c r="BR9" i="15"/>
  <c r="BR10" i="15"/>
  <c r="BR11" i="15"/>
  <c r="AI68" i="14"/>
  <c r="AI66" i="14"/>
  <c r="AI67" i="14"/>
  <c r="AI65" i="14"/>
  <c r="AI61" i="14"/>
  <c r="AB61" i="14"/>
  <c r="AI62" i="14"/>
  <c r="AI63" i="14"/>
  <c r="AD25" i="14"/>
  <c r="AD26" i="14"/>
  <c r="AD27" i="14"/>
  <c r="AD28" i="14"/>
  <c r="AD29" i="14"/>
  <c r="AD30" i="14"/>
  <c r="AD31" i="14"/>
  <c r="AD32" i="14"/>
  <c r="AD24" i="14"/>
  <c r="AC24" i="14"/>
  <c r="AC25" i="14"/>
  <c r="AC26" i="14"/>
  <c r="AC29" i="14"/>
  <c r="AC30" i="14"/>
  <c r="AC31" i="14"/>
  <c r="AJ25" i="14"/>
  <c r="AJ26" i="14"/>
  <c r="AJ29" i="14"/>
  <c r="AJ30" i="14"/>
  <c r="AJ31" i="14"/>
  <c r="AJ24" i="14"/>
  <c r="AI25" i="14"/>
  <c r="AI26" i="14"/>
  <c r="AI29" i="14"/>
  <c r="AI30" i="14"/>
  <c r="AI31" i="14"/>
  <c r="AI24" i="14"/>
  <c r="AB25" i="14"/>
  <c r="AB26" i="14"/>
  <c r="AB29" i="14"/>
  <c r="AB30" i="14"/>
  <c r="AB31" i="14"/>
  <c r="AB24" i="14"/>
  <c r="AF24" i="14"/>
  <c r="AF25" i="14"/>
  <c r="AF26" i="14"/>
  <c r="AF29" i="14"/>
  <c r="AF30" i="14"/>
  <c r="AF31" i="14"/>
  <c r="AJ32" i="14"/>
  <c r="AI32" i="14"/>
  <c r="AH24" i="14"/>
  <c r="AH25" i="14"/>
  <c r="AH26" i="14"/>
  <c r="AH29" i="14"/>
  <c r="AH30" i="14"/>
  <c r="AH31" i="14"/>
  <c r="AH32" i="14"/>
  <c r="AG24" i="14"/>
  <c r="AG25" i="14"/>
  <c r="AG26" i="14"/>
  <c r="AG29" i="14"/>
  <c r="AG30" i="14"/>
  <c r="AG31" i="14"/>
  <c r="AG32" i="14"/>
  <c r="AF32" i="14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E19" i="14"/>
  <c r="E17" i="14"/>
  <c r="AB7" i="14"/>
  <c r="AA12" i="14"/>
  <c r="AB12" i="14"/>
  <c r="Y24" i="14"/>
  <c r="Z24" i="14"/>
  <c r="AA13" i="14"/>
  <c r="AB13" i="14"/>
  <c r="Y25" i="14"/>
  <c r="Z25" i="14"/>
  <c r="AA14" i="14"/>
  <c r="AB14" i="14"/>
  <c r="Y26" i="14"/>
  <c r="Z26" i="14"/>
  <c r="AA17" i="14"/>
  <c r="AB17" i="14"/>
  <c r="Y29" i="14"/>
  <c r="Z29" i="14"/>
  <c r="AA18" i="14"/>
  <c r="AB18" i="14"/>
  <c r="Y30" i="14"/>
  <c r="Z30" i="14"/>
  <c r="AA19" i="14"/>
  <c r="AB19" i="14"/>
  <c r="Y31" i="14"/>
  <c r="Z31" i="14"/>
  <c r="Z32" i="14"/>
  <c r="AA24" i="14"/>
  <c r="AA25" i="14"/>
  <c r="AA26" i="14"/>
  <c r="AA29" i="14"/>
  <c r="AA30" i="14"/>
  <c r="AA31" i="14"/>
  <c r="AA32" i="14"/>
  <c r="AB32" i="14"/>
  <c r="AC32" i="14"/>
  <c r="Y32" i="14"/>
  <c r="Z43" i="14"/>
  <c r="AA43" i="14"/>
  <c r="AB66" i="14"/>
  <c r="Z44" i="14"/>
  <c r="AA44" i="14"/>
  <c r="AB67" i="14"/>
  <c r="Z42" i="14"/>
  <c r="AA42" i="14"/>
  <c r="AB65" i="14"/>
  <c r="Z37" i="14"/>
  <c r="AA37" i="14"/>
  <c r="Z38" i="14"/>
  <c r="AA38" i="14"/>
  <c r="AB62" i="14"/>
  <c r="Z39" i="14"/>
  <c r="AA39" i="14"/>
  <c r="AB63" i="14"/>
  <c r="AB68" i="14"/>
  <c r="AI7" i="14"/>
  <c r="AG38" i="14"/>
  <c r="AH38" i="14"/>
  <c r="AH13" i="14"/>
  <c r="AI13" i="14"/>
  <c r="AG39" i="14"/>
  <c r="AH39" i="14"/>
  <c r="AH14" i="14"/>
  <c r="AI14" i="14"/>
  <c r="AG42" i="14"/>
  <c r="AH42" i="14"/>
  <c r="AH17" i="14"/>
  <c r="AI17" i="14"/>
  <c r="AG43" i="14"/>
  <c r="AH43" i="14"/>
  <c r="AH18" i="14"/>
  <c r="AI18" i="14"/>
  <c r="AG44" i="14"/>
  <c r="AH44" i="14"/>
  <c r="AH19" i="14"/>
  <c r="AI19" i="14"/>
  <c r="AG37" i="14"/>
  <c r="AH37" i="14"/>
  <c r="AH12" i="14"/>
  <c r="AI12" i="14"/>
  <c r="AG49" i="14"/>
  <c r="AJ49" i="14"/>
  <c r="AF61" i="14"/>
  <c r="AG61" i="14"/>
  <c r="AG50" i="14"/>
  <c r="AJ50" i="14"/>
  <c r="AF62" i="14"/>
  <c r="AG62" i="14"/>
  <c r="AG51" i="14"/>
  <c r="AJ51" i="14"/>
  <c r="AF63" i="14"/>
  <c r="AG63" i="14"/>
  <c r="AG54" i="14"/>
  <c r="AJ54" i="14"/>
  <c r="AF65" i="14"/>
  <c r="AG65" i="14"/>
  <c r="AG55" i="14"/>
  <c r="AJ55" i="14"/>
  <c r="AF66" i="14"/>
  <c r="AG66" i="14"/>
  <c r="AG56" i="14"/>
  <c r="AJ56" i="14"/>
  <c r="AF67" i="14"/>
  <c r="AG67" i="14"/>
  <c r="AG68" i="14"/>
  <c r="AH61" i="14"/>
  <c r="AH62" i="14"/>
  <c r="AH63" i="14"/>
  <c r="AH65" i="14"/>
  <c r="AH66" i="14"/>
  <c r="AH67" i="14"/>
  <c r="AH68" i="14"/>
  <c r="AF68" i="14"/>
  <c r="AG57" i="14"/>
  <c r="AJ57" i="14"/>
  <c r="AI50" i="14"/>
  <c r="AI51" i="14"/>
  <c r="AI54" i="14"/>
  <c r="AI55" i="14"/>
  <c r="AI56" i="14"/>
  <c r="AI57" i="14"/>
  <c r="AI49" i="14"/>
  <c r="AH50" i="14"/>
  <c r="AH51" i="14"/>
  <c r="AH54" i="14"/>
  <c r="AH55" i="14"/>
  <c r="AH56" i="14"/>
  <c r="AH57" i="14"/>
  <c r="AH49" i="14"/>
  <c r="AF56" i="14"/>
  <c r="AF54" i="14"/>
  <c r="AF55" i="14"/>
  <c r="AF50" i="14"/>
  <c r="AF51" i="14"/>
  <c r="AF49" i="14"/>
  <c r="Z50" i="14"/>
  <c r="AC50" i="14"/>
  <c r="Y62" i="14"/>
  <c r="Z62" i="14"/>
  <c r="AA62" i="14"/>
  <c r="Z51" i="14"/>
  <c r="AC51" i="14"/>
  <c r="Y63" i="14"/>
  <c r="Z63" i="14"/>
  <c r="AA63" i="14"/>
  <c r="Z54" i="14"/>
  <c r="AC54" i="14"/>
  <c r="Y65" i="14"/>
  <c r="Z65" i="14"/>
  <c r="AA65" i="14"/>
  <c r="Z55" i="14"/>
  <c r="AC55" i="14"/>
  <c r="Y66" i="14"/>
  <c r="Z66" i="14"/>
  <c r="AA66" i="14"/>
  <c r="Z56" i="14"/>
  <c r="AC56" i="14"/>
  <c r="Y67" i="14"/>
  <c r="Z67" i="14"/>
  <c r="AA67" i="14"/>
  <c r="Z49" i="14"/>
  <c r="AC49" i="14"/>
  <c r="Y61" i="14"/>
  <c r="Z61" i="14"/>
  <c r="AA61" i="14"/>
  <c r="AA68" i="14"/>
  <c r="Z68" i="14"/>
  <c r="Y68" i="14"/>
  <c r="Z57" i="14"/>
  <c r="AC57" i="14"/>
  <c r="AB50" i="14"/>
  <c r="AB51" i="14"/>
  <c r="AB54" i="14"/>
  <c r="AB55" i="14"/>
  <c r="AB56" i="14"/>
  <c r="AB57" i="14"/>
  <c r="AB49" i="14"/>
  <c r="AA57" i="14"/>
  <c r="AA50" i="14"/>
  <c r="AA51" i="14"/>
  <c r="AA54" i="14"/>
  <c r="AA55" i="14"/>
  <c r="AA56" i="14"/>
  <c r="AA49" i="14"/>
  <c r="Y55" i="14"/>
  <c r="Y56" i="14"/>
  <c r="Y54" i="14"/>
  <c r="Y51" i="14"/>
  <c r="Y50" i="14"/>
  <c r="Y49" i="14"/>
  <c r="E24" i="14"/>
  <c r="E27" i="14"/>
  <c r="E31" i="14"/>
  <c r="E28" i="14"/>
  <c r="E32" i="14"/>
  <c r="E34" i="14"/>
  <c r="E36" i="14"/>
  <c r="E37" i="14"/>
  <c r="E42" i="14"/>
  <c r="E41" i="14"/>
  <c r="E35" i="14"/>
  <c r="E40" i="14"/>
  <c r="E39" i="14"/>
  <c r="I6" i="14"/>
  <c r="I7" i="14"/>
  <c r="I8" i="14"/>
  <c r="AS112" i="1"/>
  <c r="AR112" i="1"/>
  <c r="E20" i="14"/>
  <c r="C45" i="14"/>
  <c r="C47" i="14"/>
  <c r="C48" i="14"/>
  <c r="C46" i="14"/>
  <c r="R14" i="14"/>
  <c r="U14" i="14"/>
  <c r="U9" i="14"/>
  <c r="R27" i="14"/>
  <c r="U27" i="14"/>
  <c r="R26" i="14"/>
  <c r="U26" i="14"/>
  <c r="U19" i="14"/>
  <c r="U20" i="14"/>
  <c r="U21" i="14"/>
  <c r="U22" i="14"/>
  <c r="T25" i="14"/>
  <c r="U25" i="14"/>
  <c r="U28" i="14"/>
  <c r="S5" i="14"/>
  <c r="T29" i="14"/>
  <c r="U29" i="14"/>
  <c r="R30" i="14"/>
  <c r="S6" i="14"/>
  <c r="T30" i="14"/>
  <c r="U30" i="14"/>
  <c r="U31" i="14"/>
  <c r="U13" i="14"/>
  <c r="U10" i="14"/>
  <c r="U12" i="14"/>
  <c r="U11" i="14"/>
  <c r="V11" i="14"/>
  <c r="V14" i="14"/>
  <c r="AF57" i="14"/>
  <c r="I29" i="14"/>
  <c r="N13" i="14"/>
  <c r="N14" i="14"/>
  <c r="N48" i="14"/>
  <c r="N15" i="14"/>
  <c r="N49" i="14"/>
  <c r="N50" i="14"/>
  <c r="N11" i="14"/>
  <c r="N52" i="14"/>
  <c r="Y57" i="14"/>
  <c r="AU2" i="1"/>
  <c r="AV2" i="1"/>
  <c r="AW2" i="1"/>
  <c r="AU3" i="1"/>
  <c r="AV3" i="1"/>
  <c r="AW3" i="1"/>
  <c r="AU4" i="1"/>
  <c r="AV4" i="1"/>
  <c r="AW4" i="1"/>
  <c r="AU5" i="1"/>
  <c r="AV5" i="1"/>
  <c r="AW5" i="1"/>
  <c r="AU6" i="1"/>
  <c r="AV6" i="1"/>
  <c r="AW6" i="1"/>
  <c r="AU7" i="1"/>
  <c r="AV7" i="1"/>
  <c r="AW7" i="1"/>
  <c r="AU8" i="1"/>
  <c r="AV8" i="1"/>
  <c r="AW8" i="1"/>
  <c r="AU9" i="1"/>
  <c r="AV9" i="1"/>
  <c r="AW9" i="1"/>
  <c r="AU10" i="1"/>
  <c r="AV10" i="1"/>
  <c r="AW10" i="1"/>
  <c r="AU11" i="1"/>
  <c r="AV11" i="1"/>
  <c r="AW11" i="1"/>
  <c r="AU12" i="1"/>
  <c r="AV12" i="1"/>
  <c r="AW12" i="1"/>
  <c r="AU13" i="1"/>
  <c r="AV13" i="1"/>
  <c r="AW13" i="1"/>
  <c r="AU14" i="1"/>
  <c r="AV14" i="1"/>
  <c r="AW14" i="1"/>
  <c r="AU15" i="1"/>
  <c r="AV15" i="1"/>
  <c r="AW15" i="1"/>
  <c r="AU16" i="1"/>
  <c r="AV16" i="1"/>
  <c r="AW16" i="1"/>
  <c r="AU17" i="1"/>
  <c r="AV17" i="1"/>
  <c r="AW17" i="1"/>
  <c r="AU18" i="1"/>
  <c r="AV18" i="1"/>
  <c r="AW18" i="1"/>
  <c r="AU19" i="1"/>
  <c r="AV19" i="1"/>
  <c r="AW19" i="1"/>
  <c r="AU20" i="1"/>
  <c r="AV20" i="1"/>
  <c r="AW20" i="1"/>
  <c r="AU21" i="1"/>
  <c r="AV21" i="1"/>
  <c r="AW21" i="1"/>
  <c r="AU22" i="1"/>
  <c r="AV22" i="1"/>
  <c r="AW22" i="1"/>
  <c r="AU23" i="1"/>
  <c r="AV23" i="1"/>
  <c r="AW23" i="1"/>
  <c r="AU24" i="1"/>
  <c r="AV24" i="1"/>
  <c r="AW24" i="1"/>
  <c r="AU25" i="1"/>
  <c r="AV25" i="1"/>
  <c r="AW25" i="1"/>
  <c r="AU26" i="1"/>
  <c r="AV26" i="1"/>
  <c r="AW26" i="1"/>
  <c r="AU27" i="1"/>
  <c r="AV27" i="1"/>
  <c r="AW27" i="1"/>
  <c r="AU28" i="1"/>
  <c r="AV28" i="1"/>
  <c r="AW28" i="1"/>
  <c r="AU29" i="1"/>
  <c r="AV29" i="1"/>
  <c r="AW29" i="1"/>
  <c r="AU30" i="1"/>
  <c r="AV30" i="1"/>
  <c r="AW30" i="1"/>
  <c r="AU31" i="1"/>
  <c r="AV31" i="1"/>
  <c r="AW31" i="1"/>
  <c r="AU32" i="1"/>
  <c r="AV32" i="1"/>
  <c r="AW32" i="1"/>
  <c r="AU33" i="1"/>
  <c r="AV33" i="1"/>
  <c r="AW33" i="1"/>
  <c r="AU34" i="1"/>
  <c r="AV34" i="1"/>
  <c r="AW34" i="1"/>
  <c r="AU35" i="1"/>
  <c r="AV35" i="1"/>
  <c r="AW35" i="1"/>
  <c r="AU36" i="1"/>
  <c r="AV36" i="1"/>
  <c r="AW36" i="1"/>
  <c r="AU37" i="1"/>
  <c r="AV37" i="1"/>
  <c r="AW37" i="1"/>
  <c r="AU38" i="1"/>
  <c r="AV38" i="1"/>
  <c r="AW38" i="1"/>
  <c r="AU39" i="1"/>
  <c r="AV39" i="1"/>
  <c r="AW39" i="1"/>
  <c r="AU40" i="1"/>
  <c r="AV40" i="1"/>
  <c r="AW40" i="1"/>
  <c r="AU41" i="1"/>
  <c r="AV41" i="1"/>
  <c r="AW41" i="1"/>
  <c r="AU42" i="1"/>
  <c r="AV42" i="1"/>
  <c r="AW42" i="1"/>
  <c r="AU43" i="1"/>
  <c r="AV43" i="1"/>
  <c r="AW43" i="1"/>
  <c r="AU44" i="1"/>
  <c r="AV44" i="1"/>
  <c r="AW44" i="1"/>
  <c r="AU45" i="1"/>
  <c r="AV45" i="1"/>
  <c r="AW45" i="1"/>
  <c r="AU46" i="1"/>
  <c r="AV46" i="1"/>
  <c r="AW46" i="1"/>
  <c r="AU47" i="1"/>
  <c r="AV47" i="1"/>
  <c r="AW47" i="1"/>
  <c r="AU48" i="1"/>
  <c r="AV48" i="1"/>
  <c r="AW48" i="1"/>
  <c r="AU49" i="1"/>
  <c r="AV49" i="1"/>
  <c r="AW49" i="1"/>
  <c r="AU50" i="1"/>
  <c r="AV50" i="1"/>
  <c r="AW50" i="1"/>
  <c r="AU51" i="1"/>
  <c r="AV51" i="1"/>
  <c r="AW51" i="1"/>
  <c r="AU52" i="1"/>
  <c r="AV52" i="1"/>
  <c r="AW52" i="1"/>
  <c r="AU53" i="1"/>
  <c r="AV53" i="1"/>
  <c r="AW53" i="1"/>
  <c r="AU54" i="1"/>
  <c r="AV54" i="1"/>
  <c r="AW54" i="1"/>
  <c r="AU55" i="1"/>
  <c r="AV55" i="1"/>
  <c r="AW55" i="1"/>
  <c r="AU56" i="1"/>
  <c r="AV56" i="1"/>
  <c r="AW56" i="1"/>
  <c r="AU57" i="1"/>
  <c r="AV57" i="1"/>
  <c r="AW57" i="1"/>
  <c r="AU58" i="1"/>
  <c r="AV58" i="1"/>
  <c r="AW58" i="1"/>
  <c r="AU59" i="1"/>
  <c r="AV59" i="1"/>
  <c r="AW59" i="1"/>
  <c r="AU60" i="1"/>
  <c r="AV60" i="1"/>
  <c r="AW60" i="1"/>
  <c r="AU61" i="1"/>
  <c r="AV61" i="1"/>
  <c r="AW61" i="1"/>
  <c r="AU62" i="1"/>
  <c r="AV62" i="1"/>
  <c r="AW62" i="1"/>
  <c r="AU63" i="1"/>
  <c r="AV63" i="1"/>
  <c r="AW63" i="1"/>
  <c r="AU64" i="1"/>
  <c r="AV64" i="1"/>
  <c r="AW64" i="1"/>
  <c r="AU65" i="1"/>
  <c r="AV65" i="1"/>
  <c r="AW65" i="1"/>
  <c r="AU66" i="1"/>
  <c r="AV66" i="1"/>
  <c r="AW66" i="1"/>
  <c r="AU67" i="1"/>
  <c r="AV67" i="1"/>
  <c r="AW67" i="1"/>
  <c r="AU68" i="1"/>
  <c r="AV68" i="1"/>
  <c r="AW68" i="1"/>
  <c r="AU69" i="1"/>
  <c r="AV69" i="1"/>
  <c r="AW69" i="1"/>
  <c r="AU70" i="1"/>
  <c r="AV70" i="1"/>
  <c r="AW70" i="1"/>
  <c r="AU71" i="1"/>
  <c r="AV71" i="1"/>
  <c r="AW71" i="1"/>
  <c r="AU72" i="1"/>
  <c r="AV72" i="1"/>
  <c r="AW72" i="1"/>
  <c r="AU73" i="1"/>
  <c r="AV73" i="1"/>
  <c r="AW73" i="1"/>
  <c r="AU74" i="1"/>
  <c r="AV74" i="1"/>
  <c r="AW74" i="1"/>
  <c r="AU75" i="1"/>
  <c r="AV75" i="1"/>
  <c r="AW75" i="1"/>
  <c r="AU76" i="1"/>
  <c r="AV76" i="1"/>
  <c r="AW76" i="1"/>
  <c r="AU77" i="1"/>
  <c r="AV77" i="1"/>
  <c r="AW77" i="1"/>
  <c r="AU78" i="1"/>
  <c r="AV78" i="1"/>
  <c r="AW78" i="1"/>
  <c r="AU79" i="1"/>
  <c r="AV79" i="1"/>
  <c r="AW79" i="1"/>
  <c r="AU80" i="1"/>
  <c r="AV80" i="1"/>
  <c r="AW80" i="1"/>
  <c r="AU81" i="1"/>
  <c r="AV81" i="1"/>
  <c r="AW81" i="1"/>
  <c r="AU82" i="1"/>
  <c r="AV82" i="1"/>
  <c r="AW82" i="1"/>
  <c r="AU83" i="1"/>
  <c r="AV83" i="1"/>
  <c r="AW83" i="1"/>
  <c r="AU84" i="1"/>
  <c r="AV84" i="1"/>
  <c r="AW84" i="1"/>
  <c r="AU85" i="1"/>
  <c r="AV85" i="1"/>
  <c r="AW85" i="1"/>
  <c r="AU86" i="1"/>
  <c r="AV86" i="1"/>
  <c r="AW86" i="1"/>
  <c r="AU87" i="1"/>
  <c r="AV87" i="1"/>
  <c r="AW87" i="1"/>
  <c r="AU88" i="1"/>
  <c r="AV88" i="1"/>
  <c r="AW88" i="1"/>
  <c r="AU89" i="1"/>
  <c r="AV89" i="1"/>
  <c r="AW89" i="1"/>
  <c r="AU90" i="1"/>
  <c r="AV90" i="1"/>
  <c r="AW90" i="1"/>
  <c r="AU91" i="1"/>
  <c r="AV91" i="1"/>
  <c r="AW91" i="1"/>
  <c r="AU92" i="1"/>
  <c r="AV92" i="1"/>
  <c r="AW92" i="1"/>
  <c r="AU93" i="1"/>
  <c r="AV93" i="1"/>
  <c r="AW93" i="1"/>
  <c r="AU94" i="1"/>
  <c r="AV94" i="1"/>
  <c r="AW94" i="1"/>
  <c r="AU95" i="1"/>
  <c r="AV95" i="1"/>
  <c r="AW95" i="1"/>
  <c r="AU96" i="1"/>
  <c r="AV96" i="1"/>
  <c r="AW96" i="1"/>
  <c r="AU97" i="1"/>
  <c r="AV97" i="1"/>
  <c r="AW97" i="1"/>
  <c r="AU98" i="1"/>
  <c r="AV98" i="1"/>
  <c r="AW98" i="1"/>
  <c r="AU99" i="1"/>
  <c r="AV99" i="1"/>
  <c r="AW99" i="1"/>
  <c r="AU100" i="1"/>
  <c r="AV100" i="1"/>
  <c r="AW100" i="1"/>
  <c r="AU101" i="1"/>
  <c r="AV101" i="1"/>
  <c r="AW101" i="1"/>
  <c r="AU102" i="1"/>
  <c r="AV102" i="1"/>
  <c r="AW102" i="1"/>
  <c r="AU103" i="1"/>
  <c r="AV103" i="1"/>
  <c r="AW103" i="1"/>
  <c r="AU104" i="1"/>
  <c r="AV104" i="1"/>
  <c r="AW104" i="1"/>
  <c r="AU105" i="1"/>
  <c r="AV105" i="1"/>
  <c r="AW105" i="1"/>
  <c r="AU106" i="1"/>
  <c r="AV106" i="1"/>
  <c r="AW106" i="1"/>
  <c r="AU107" i="1"/>
  <c r="AV107" i="1"/>
  <c r="AW107" i="1"/>
  <c r="AU108" i="1"/>
  <c r="AV108" i="1"/>
  <c r="AW108" i="1"/>
  <c r="AU109" i="1"/>
  <c r="AV109" i="1"/>
  <c r="AW109" i="1"/>
  <c r="AU110" i="1"/>
  <c r="AV110" i="1"/>
  <c r="AW110" i="1"/>
  <c r="AW112" i="1"/>
  <c r="I76" i="1"/>
  <c r="J76" i="1"/>
  <c r="K76" i="1"/>
  <c r="N19" i="14"/>
  <c r="N20" i="14"/>
  <c r="N21" i="14"/>
  <c r="N23" i="14"/>
  <c r="N24" i="14"/>
  <c r="N27" i="14"/>
  <c r="O27" i="14"/>
  <c r="O29" i="14"/>
  <c r="O30" i="14"/>
  <c r="O35" i="14"/>
  <c r="N45" i="14"/>
  <c r="N55" i="14"/>
  <c r="N58" i="14"/>
  <c r="N53" i="14"/>
  <c r="N59" i="14"/>
  <c r="N60" i="14"/>
  <c r="N56" i="14"/>
  <c r="O31" i="14"/>
  <c r="O36" i="14"/>
  <c r="N46" i="14"/>
  <c r="O34" i="14"/>
  <c r="O33" i="14"/>
  <c r="N34" i="14"/>
  <c r="N33" i="14"/>
  <c r="N38" i="14"/>
  <c r="N39" i="14"/>
  <c r="N40" i="14"/>
  <c r="N41" i="14"/>
  <c r="N29" i="14"/>
  <c r="N31" i="14"/>
  <c r="N36" i="14"/>
  <c r="N30" i="14"/>
  <c r="N35" i="14"/>
  <c r="N84" i="14"/>
  <c r="I11" i="14"/>
  <c r="N83" i="14"/>
  <c r="N85" i="14"/>
  <c r="N86" i="14"/>
  <c r="N87" i="14"/>
  <c r="N89" i="14"/>
  <c r="O89" i="14"/>
  <c r="O90" i="14"/>
  <c r="O92" i="14"/>
  <c r="O91" i="14"/>
  <c r="O93" i="14"/>
  <c r="O94" i="14"/>
  <c r="AW114" i="1"/>
  <c r="I2" i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D15" i="14"/>
  <c r="BM76" i="1"/>
  <c r="BH76" i="1"/>
  <c r="BF76" i="1"/>
  <c r="BA76" i="1"/>
  <c r="BB76" i="1"/>
  <c r="AW113" i="1"/>
  <c r="N90" i="14"/>
  <c r="N92" i="14"/>
  <c r="N91" i="14"/>
  <c r="N93" i="14"/>
  <c r="N94" i="14"/>
  <c r="I33" i="14"/>
  <c r="I34" i="14"/>
  <c r="I35" i="14"/>
  <c r="BC113" i="1"/>
  <c r="BC112" i="1"/>
  <c r="I15" i="14"/>
  <c r="I16" i="14"/>
  <c r="I17" i="14"/>
  <c r="I24" i="14"/>
  <c r="I25" i="14"/>
  <c r="I26" i="14"/>
  <c r="E29" i="14"/>
  <c r="E23" i="14"/>
  <c r="E18" i="14"/>
  <c r="H117" i="1"/>
  <c r="AX114" i="1"/>
  <c r="AW116" i="1"/>
  <c r="AW117" i="1"/>
  <c r="AW120" i="1"/>
  <c r="CO113" i="1"/>
  <c r="CO114" i="1"/>
  <c r="CO115" i="1"/>
  <c r="CO116" i="1"/>
  <c r="CO117" i="1"/>
  <c r="CO118" i="1"/>
  <c r="CO119" i="1"/>
  <c r="CO120" i="1"/>
  <c r="CO121" i="1"/>
  <c r="CO112" i="1"/>
  <c r="CN113" i="1"/>
  <c r="CN114" i="1"/>
  <c r="CN115" i="1"/>
  <c r="CN116" i="1"/>
  <c r="CN117" i="1"/>
  <c r="CN118" i="1"/>
  <c r="CN119" i="1"/>
  <c r="CN120" i="1"/>
  <c r="CN121" i="1"/>
  <c r="CN112" i="1"/>
  <c r="CM113" i="1"/>
  <c r="CM114" i="1"/>
  <c r="CM115" i="1"/>
  <c r="CM116" i="1"/>
  <c r="CM117" i="1"/>
  <c r="CM118" i="1"/>
  <c r="CM119" i="1"/>
  <c r="CM120" i="1"/>
  <c r="CM121" i="1"/>
  <c r="CM112" i="1"/>
  <c r="BU113" i="1"/>
  <c r="BU115" i="1"/>
  <c r="BU116" i="1"/>
  <c r="BU112" i="1"/>
  <c r="BS113" i="1"/>
  <c r="BS114" i="1"/>
  <c r="BS115" i="1"/>
  <c r="BS116" i="1"/>
  <c r="BS112" i="1"/>
  <c r="BR113" i="1"/>
  <c r="BR112" i="1"/>
  <c r="BP113" i="1"/>
  <c r="BP114" i="1"/>
  <c r="BP115" i="1"/>
  <c r="BP116" i="1"/>
  <c r="BP117" i="1"/>
  <c r="BP112" i="1"/>
  <c r="BK113" i="1"/>
  <c r="BK112" i="1"/>
  <c r="BJ113" i="1"/>
  <c r="BJ114" i="1"/>
  <c r="BJ115" i="1"/>
  <c r="BJ116" i="1"/>
  <c r="BJ117" i="1"/>
  <c r="BJ118" i="1"/>
  <c r="BJ119" i="1"/>
  <c r="BJ120" i="1"/>
  <c r="BJ121" i="1"/>
  <c r="BJ112" i="1"/>
  <c r="BI113" i="1"/>
  <c r="BI114" i="1"/>
  <c r="BI115" i="1"/>
  <c r="BI116" i="1"/>
  <c r="BI112" i="1"/>
  <c r="BF66" i="1"/>
  <c r="BF108" i="1"/>
  <c r="BF56" i="1"/>
  <c r="BF49" i="1"/>
  <c r="BF83" i="1"/>
  <c r="BF40" i="1"/>
  <c r="BF94" i="1"/>
  <c r="BF41" i="1"/>
  <c r="BF18" i="1"/>
  <c r="BF72" i="1"/>
  <c r="BF7" i="1"/>
  <c r="BF24" i="1"/>
  <c r="BF93" i="1"/>
  <c r="BF101" i="1"/>
  <c r="BF96" i="1"/>
  <c r="BF84" i="1"/>
  <c r="BF42" i="1"/>
  <c r="BF65" i="1"/>
  <c r="BF70" i="1"/>
  <c r="BF43" i="1"/>
  <c r="BF26" i="1"/>
  <c r="BF90" i="1"/>
  <c r="BF62" i="1"/>
  <c r="BF63" i="1"/>
  <c r="BF22" i="1"/>
  <c r="BF45" i="1"/>
  <c r="BF44" i="1"/>
  <c r="BF60" i="1"/>
  <c r="BF57" i="1"/>
  <c r="BF86" i="1"/>
  <c r="BF28" i="1"/>
  <c r="BF33" i="1"/>
  <c r="BF14" i="1"/>
  <c r="BF10" i="1"/>
  <c r="BF79" i="1"/>
  <c r="BF71" i="1"/>
  <c r="BF89" i="1"/>
  <c r="BF91" i="1"/>
  <c r="BF92" i="1"/>
  <c r="BF19" i="1"/>
  <c r="BF88" i="1"/>
  <c r="BF109" i="1"/>
  <c r="BF75" i="1"/>
  <c r="BF31" i="1"/>
  <c r="BF25" i="1"/>
  <c r="BF46" i="1"/>
  <c r="BF29" i="1"/>
  <c r="BF102" i="1"/>
  <c r="BF100" i="1"/>
  <c r="BF23" i="1"/>
  <c r="BF4" i="1"/>
  <c r="BF87" i="1"/>
  <c r="BF99" i="1"/>
  <c r="BF32" i="1"/>
  <c r="BF59" i="1"/>
  <c r="BF36" i="1"/>
  <c r="BF20" i="1"/>
  <c r="BF30" i="1"/>
  <c r="BF17" i="1"/>
  <c r="BF104" i="1"/>
  <c r="BF81" i="1"/>
  <c r="BF2" i="1"/>
  <c r="BF51" i="1"/>
  <c r="BF80" i="1"/>
  <c r="BF8" i="1"/>
  <c r="BF69" i="1"/>
  <c r="BF68" i="1"/>
  <c r="BF67" i="1"/>
  <c r="BF5" i="1"/>
  <c r="BF9" i="1"/>
  <c r="BF6" i="1"/>
  <c r="BF21" i="1"/>
  <c r="BF73" i="1"/>
  <c r="BF27" i="1"/>
  <c r="BF54" i="1"/>
  <c r="BF103" i="1"/>
  <c r="BF78" i="1"/>
  <c r="BF110" i="1"/>
  <c r="BF98" i="1"/>
  <c r="BF82" i="1"/>
  <c r="BF107" i="1"/>
  <c r="BF16" i="1"/>
  <c r="BF50" i="1"/>
  <c r="BF3" i="1"/>
  <c r="BF55" i="1"/>
  <c r="BF15" i="1"/>
  <c r="BF12" i="1"/>
  <c r="BF34" i="1"/>
  <c r="BF105" i="1"/>
  <c r="BF106" i="1"/>
  <c r="BF58" i="1"/>
  <c r="BF37" i="1"/>
  <c r="BF77" i="1"/>
  <c r="BF97" i="1"/>
  <c r="BF11" i="1"/>
  <c r="BF74" i="1"/>
  <c r="BF38" i="1"/>
  <c r="BF48" i="1"/>
  <c r="BF13" i="1"/>
  <c r="BF61" i="1"/>
  <c r="BF53" i="1"/>
  <c r="BF85" i="1"/>
  <c r="BF64" i="1"/>
  <c r="BF95" i="1"/>
  <c r="BF47" i="1"/>
  <c r="BF35" i="1"/>
  <c r="BF52" i="1"/>
  <c r="BF39" i="1"/>
  <c r="BF113" i="1"/>
  <c r="BD113" i="1"/>
  <c r="BD114" i="1"/>
  <c r="BD115" i="1"/>
  <c r="BD116" i="1"/>
  <c r="BD112" i="1"/>
  <c r="BC114" i="1"/>
  <c r="BC115" i="1"/>
  <c r="BC116" i="1"/>
  <c r="BA66" i="1"/>
  <c r="BB66" i="1"/>
  <c r="BA108" i="1"/>
  <c r="BB108" i="1"/>
  <c r="BA56" i="1"/>
  <c r="BB56" i="1"/>
  <c r="BA49" i="1"/>
  <c r="BB49" i="1"/>
  <c r="BA83" i="1"/>
  <c r="BB83" i="1"/>
  <c r="BA40" i="1"/>
  <c r="BB40" i="1"/>
  <c r="BA94" i="1"/>
  <c r="BB94" i="1"/>
  <c r="BA41" i="1"/>
  <c r="BB41" i="1"/>
  <c r="BA18" i="1"/>
  <c r="BB18" i="1"/>
  <c r="BA72" i="1"/>
  <c r="BB72" i="1"/>
  <c r="BA7" i="1"/>
  <c r="BB7" i="1"/>
  <c r="BA24" i="1"/>
  <c r="BB24" i="1"/>
  <c r="BA93" i="1"/>
  <c r="BB93" i="1"/>
  <c r="BA101" i="1"/>
  <c r="BB101" i="1"/>
  <c r="BA96" i="1"/>
  <c r="BB96" i="1"/>
  <c r="BA84" i="1"/>
  <c r="BB84" i="1"/>
  <c r="BA42" i="1"/>
  <c r="BB42" i="1"/>
  <c r="BA65" i="1"/>
  <c r="BB65" i="1"/>
  <c r="BA70" i="1"/>
  <c r="BB70" i="1"/>
  <c r="BA43" i="1"/>
  <c r="BB43" i="1"/>
  <c r="BA26" i="1"/>
  <c r="BB26" i="1"/>
  <c r="BA90" i="1"/>
  <c r="BB90" i="1"/>
  <c r="BA62" i="1"/>
  <c r="BB62" i="1"/>
  <c r="BA63" i="1"/>
  <c r="BB63" i="1"/>
  <c r="BA22" i="1"/>
  <c r="BB22" i="1"/>
  <c r="BA45" i="1"/>
  <c r="BB45" i="1"/>
  <c r="BA44" i="1"/>
  <c r="BB44" i="1"/>
  <c r="BA60" i="1"/>
  <c r="BB60" i="1"/>
  <c r="BA57" i="1"/>
  <c r="BB57" i="1"/>
  <c r="BA86" i="1"/>
  <c r="BB86" i="1"/>
  <c r="BA28" i="1"/>
  <c r="BB28" i="1"/>
  <c r="BA33" i="1"/>
  <c r="BB33" i="1"/>
  <c r="BA14" i="1"/>
  <c r="BB14" i="1"/>
  <c r="BA10" i="1"/>
  <c r="BB10" i="1"/>
  <c r="BA79" i="1"/>
  <c r="BB79" i="1"/>
  <c r="BA71" i="1"/>
  <c r="BB71" i="1"/>
  <c r="BA89" i="1"/>
  <c r="BB89" i="1"/>
  <c r="BA91" i="1"/>
  <c r="BB91" i="1"/>
  <c r="BA92" i="1"/>
  <c r="BB92" i="1"/>
  <c r="BA19" i="1"/>
  <c r="BB19" i="1"/>
  <c r="BA88" i="1"/>
  <c r="BB88" i="1"/>
  <c r="BA109" i="1"/>
  <c r="BB109" i="1"/>
  <c r="BA75" i="1"/>
  <c r="BB75" i="1"/>
  <c r="BA31" i="1"/>
  <c r="BB31" i="1"/>
  <c r="BA25" i="1"/>
  <c r="BB25" i="1"/>
  <c r="BA46" i="1"/>
  <c r="BB46" i="1"/>
  <c r="BA29" i="1"/>
  <c r="BB29" i="1"/>
  <c r="BA102" i="1"/>
  <c r="BB102" i="1"/>
  <c r="BA100" i="1"/>
  <c r="BB100" i="1"/>
  <c r="BA23" i="1"/>
  <c r="BB23" i="1"/>
  <c r="BA4" i="1"/>
  <c r="BB4" i="1"/>
  <c r="BA87" i="1"/>
  <c r="BB87" i="1"/>
  <c r="BA99" i="1"/>
  <c r="BB99" i="1"/>
  <c r="BA32" i="1"/>
  <c r="BB32" i="1"/>
  <c r="BA59" i="1"/>
  <c r="BB59" i="1"/>
  <c r="BA36" i="1"/>
  <c r="BB36" i="1"/>
  <c r="BA20" i="1"/>
  <c r="BB20" i="1"/>
  <c r="BA30" i="1"/>
  <c r="BB30" i="1"/>
  <c r="BA17" i="1"/>
  <c r="BB17" i="1"/>
  <c r="BA104" i="1"/>
  <c r="BB104" i="1"/>
  <c r="BA81" i="1"/>
  <c r="BB81" i="1"/>
  <c r="BA2" i="1"/>
  <c r="BB2" i="1"/>
  <c r="BA51" i="1"/>
  <c r="BB51" i="1"/>
  <c r="BA80" i="1"/>
  <c r="BB80" i="1"/>
  <c r="BA8" i="1"/>
  <c r="BB8" i="1"/>
  <c r="BA69" i="1"/>
  <c r="BB69" i="1"/>
  <c r="BA68" i="1"/>
  <c r="BB68" i="1"/>
  <c r="BA67" i="1"/>
  <c r="BB67" i="1"/>
  <c r="BA5" i="1"/>
  <c r="BB5" i="1"/>
  <c r="BA9" i="1"/>
  <c r="BB9" i="1"/>
  <c r="BA6" i="1"/>
  <c r="BB6" i="1"/>
  <c r="BA21" i="1"/>
  <c r="BB21" i="1"/>
  <c r="BA73" i="1"/>
  <c r="BB73" i="1"/>
  <c r="BA27" i="1"/>
  <c r="BB27" i="1"/>
  <c r="BA54" i="1"/>
  <c r="BB54" i="1"/>
  <c r="BA103" i="1"/>
  <c r="BB103" i="1"/>
  <c r="BA78" i="1"/>
  <c r="BB78" i="1"/>
  <c r="BA110" i="1"/>
  <c r="BB110" i="1"/>
  <c r="BA98" i="1"/>
  <c r="BB98" i="1"/>
  <c r="BA82" i="1"/>
  <c r="BB82" i="1"/>
  <c r="BA107" i="1"/>
  <c r="BB107" i="1"/>
  <c r="BA16" i="1"/>
  <c r="BB16" i="1"/>
  <c r="BA50" i="1"/>
  <c r="BB50" i="1"/>
  <c r="BA3" i="1"/>
  <c r="BB3" i="1"/>
  <c r="BA55" i="1"/>
  <c r="BB55" i="1"/>
  <c r="BA15" i="1"/>
  <c r="BB15" i="1"/>
  <c r="BA12" i="1"/>
  <c r="BB12" i="1"/>
  <c r="BA34" i="1"/>
  <c r="BB34" i="1"/>
  <c r="BA105" i="1"/>
  <c r="BB105" i="1"/>
  <c r="BA106" i="1"/>
  <c r="BB106" i="1"/>
  <c r="BA58" i="1"/>
  <c r="BB58" i="1"/>
  <c r="BA37" i="1"/>
  <c r="BB37" i="1"/>
  <c r="BA77" i="1"/>
  <c r="BB77" i="1"/>
  <c r="BA97" i="1"/>
  <c r="BB97" i="1"/>
  <c r="BA11" i="1"/>
  <c r="BB11" i="1"/>
  <c r="BA74" i="1"/>
  <c r="BB74" i="1"/>
  <c r="BA38" i="1"/>
  <c r="BB38" i="1"/>
  <c r="BA48" i="1"/>
  <c r="BB48" i="1"/>
  <c r="BA13" i="1"/>
  <c r="BB13" i="1"/>
  <c r="BA61" i="1"/>
  <c r="BB61" i="1"/>
  <c r="BA53" i="1"/>
  <c r="BB53" i="1"/>
  <c r="BA85" i="1"/>
  <c r="BB85" i="1"/>
  <c r="BA64" i="1"/>
  <c r="BB64" i="1"/>
  <c r="BA95" i="1"/>
  <c r="BB95" i="1"/>
  <c r="BA47" i="1"/>
  <c r="BB47" i="1"/>
  <c r="BA35" i="1"/>
  <c r="BB35" i="1"/>
  <c r="BA52" i="1"/>
  <c r="BB52" i="1"/>
  <c r="BA39" i="1"/>
  <c r="BB39" i="1"/>
  <c r="AQ113" i="1"/>
  <c r="AQ114" i="1"/>
  <c r="AQ115" i="1"/>
  <c r="AQ116" i="1"/>
  <c r="AQ117" i="1"/>
  <c r="AQ118" i="1"/>
  <c r="AQ112" i="1"/>
  <c r="AP113" i="1"/>
  <c r="AP114" i="1"/>
  <c r="AP116" i="1"/>
  <c r="AP112" i="1"/>
  <c r="AC113" i="1"/>
  <c r="AC114" i="1"/>
  <c r="AC115" i="1"/>
  <c r="AC116" i="1"/>
  <c r="AC117" i="1"/>
  <c r="AC118" i="1"/>
  <c r="AC119" i="1"/>
  <c r="AC120" i="1"/>
  <c r="AC121" i="1"/>
  <c r="AC112" i="1"/>
  <c r="AB113" i="1"/>
  <c r="AB115" i="1"/>
  <c r="AB116" i="1"/>
  <c r="AB112" i="1"/>
  <c r="AA113" i="1"/>
  <c r="AA115" i="1"/>
  <c r="AA116" i="1"/>
  <c r="AA112" i="1"/>
  <c r="P112" i="1"/>
  <c r="Q112" i="1"/>
  <c r="R112" i="1"/>
  <c r="S112" i="1"/>
  <c r="T112" i="1"/>
  <c r="U112" i="1"/>
  <c r="V112" i="1"/>
  <c r="W112" i="1"/>
  <c r="X112" i="1"/>
  <c r="Y112" i="1"/>
  <c r="Z112" i="1"/>
  <c r="O113" i="1"/>
  <c r="O114" i="1"/>
  <c r="O115" i="1"/>
  <c r="O112" i="1"/>
  <c r="CL115" i="1"/>
  <c r="CL116" i="1"/>
  <c r="CL117" i="1"/>
  <c r="CL119" i="1"/>
  <c r="CL120" i="1"/>
  <c r="BB112" i="1"/>
  <c r="AV112" i="1"/>
  <c r="H118" i="1"/>
  <c r="E131" i="1"/>
  <c r="H131" i="1"/>
  <c r="E125" i="1"/>
  <c r="E126" i="1"/>
  <c r="H130" i="1"/>
  <c r="E133" i="1"/>
  <c r="E132" i="1"/>
  <c r="E130" i="1"/>
  <c r="E128" i="1"/>
  <c r="E127" i="1"/>
  <c r="H116" i="1"/>
  <c r="H129" i="1"/>
  <c r="CK116" i="1"/>
  <c r="CK117" i="1"/>
  <c r="BT118" i="1"/>
  <c r="BT116" i="1"/>
  <c r="BT117" i="1"/>
  <c r="BN114" i="1"/>
  <c r="BN115" i="1"/>
  <c r="BN116" i="1"/>
  <c r="BL119" i="1"/>
  <c r="BL120" i="1"/>
  <c r="BL118" i="1"/>
  <c r="BL113" i="1"/>
  <c r="BL114" i="1"/>
  <c r="BL115" i="1"/>
  <c r="BL116" i="1"/>
  <c r="BL117" i="1"/>
  <c r="BH51" i="1"/>
  <c r="BH37" i="1"/>
  <c r="BH77" i="1"/>
  <c r="BH21" i="1"/>
  <c r="BH73" i="1"/>
  <c r="BH18" i="1"/>
  <c r="BH50" i="1"/>
  <c r="BH27" i="1"/>
  <c r="BH3" i="1"/>
  <c r="BH97" i="1"/>
  <c r="BH55" i="1"/>
  <c r="BH11" i="1"/>
  <c r="BH72" i="1"/>
  <c r="BH7" i="1"/>
  <c r="BH24" i="1"/>
  <c r="BH74" i="1"/>
  <c r="BH54" i="1"/>
  <c r="BH66" i="1"/>
  <c r="BH93" i="1"/>
  <c r="BH101" i="1"/>
  <c r="BH56" i="1"/>
  <c r="BH104" i="1"/>
  <c r="BH38" i="1"/>
  <c r="BH96" i="1"/>
  <c r="BH84" i="1"/>
  <c r="BH42" i="1"/>
  <c r="BH65" i="1"/>
  <c r="BH81" i="1"/>
  <c r="BH80" i="1"/>
  <c r="BH8" i="1"/>
  <c r="BH15" i="1"/>
  <c r="BH12" i="1"/>
  <c r="BH48" i="1"/>
  <c r="BH70" i="1"/>
  <c r="BH43" i="1"/>
  <c r="BH32" i="1"/>
  <c r="BH69" i="1"/>
  <c r="BH68" i="1"/>
  <c r="BH67" i="1"/>
  <c r="BH34" i="1"/>
  <c r="BH13" i="1"/>
  <c r="BH61" i="1"/>
  <c r="BH26" i="1"/>
  <c r="BH90" i="1"/>
  <c r="BH53" i="1"/>
  <c r="BH62" i="1"/>
  <c r="BH63" i="1"/>
  <c r="BH22" i="1"/>
  <c r="BH105" i="1"/>
  <c r="BH49" i="1"/>
  <c r="BH45" i="1"/>
  <c r="BH44" i="1"/>
  <c r="BH60" i="1"/>
  <c r="BH57" i="1"/>
  <c r="BH86" i="1"/>
  <c r="BH85" i="1"/>
  <c r="BH28" i="1"/>
  <c r="BH106" i="1"/>
  <c r="BH33" i="1"/>
  <c r="BH59" i="1"/>
  <c r="BH5" i="1"/>
  <c r="BH64" i="1"/>
  <c r="BH14" i="1"/>
  <c r="BH58" i="1"/>
  <c r="BH10" i="1"/>
  <c r="BH79" i="1"/>
  <c r="BH71" i="1"/>
  <c r="BH2" i="1"/>
  <c r="BH89" i="1"/>
  <c r="BH91" i="1"/>
  <c r="BH92" i="1"/>
  <c r="BH87" i="1"/>
  <c r="BH19" i="1"/>
  <c r="BH95" i="1"/>
  <c r="BH88" i="1"/>
  <c r="BH109" i="1"/>
  <c r="BH108" i="1"/>
  <c r="BH83" i="1"/>
  <c r="BH75" i="1"/>
  <c r="BH36" i="1"/>
  <c r="BH20" i="1"/>
  <c r="BH9" i="1"/>
  <c r="BH31" i="1"/>
  <c r="BH25" i="1"/>
  <c r="BH46" i="1"/>
  <c r="BH29" i="1"/>
  <c r="BH30" i="1"/>
  <c r="BH40" i="1"/>
  <c r="BH103" i="1"/>
  <c r="BH110" i="1"/>
  <c r="BH102" i="1"/>
  <c r="BH100" i="1"/>
  <c r="BH99" i="1"/>
  <c r="BH23" i="1"/>
  <c r="BH47" i="1"/>
  <c r="BH35" i="1"/>
  <c r="BH4" i="1"/>
  <c r="BH98" i="1"/>
  <c r="BH82" i="1"/>
  <c r="BH107" i="1"/>
  <c r="BH94" i="1"/>
  <c r="BH17" i="1"/>
  <c r="BH78" i="1"/>
  <c r="BH52" i="1"/>
  <c r="BH41" i="1"/>
  <c r="BH39" i="1"/>
  <c r="BH6" i="1"/>
  <c r="BH16" i="1"/>
  <c r="BH113" i="1"/>
  <c r="BH112" i="1"/>
  <c r="BG112" i="1"/>
  <c r="BE112" i="1"/>
  <c r="BE113" i="1"/>
  <c r="BF112" i="1"/>
  <c r="CK115" i="1"/>
  <c r="CK114" i="1"/>
  <c r="CK113" i="1"/>
  <c r="CK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BV116" i="1"/>
  <c r="BV115" i="1"/>
  <c r="BV114" i="1"/>
  <c r="BV113" i="1"/>
  <c r="BV112" i="1"/>
  <c r="BU114" i="1"/>
  <c r="BT115" i="1"/>
  <c r="BT114" i="1"/>
  <c r="BT113" i="1"/>
  <c r="BT112" i="1"/>
  <c r="BR116" i="1"/>
  <c r="BR115" i="1"/>
  <c r="BR114" i="1"/>
  <c r="BN113" i="1"/>
  <c r="BN112" i="1"/>
  <c r="BM51" i="1"/>
  <c r="BM37" i="1"/>
  <c r="BM77" i="1"/>
  <c r="BM21" i="1"/>
  <c r="BM73" i="1"/>
  <c r="BM18" i="1"/>
  <c r="BM50" i="1"/>
  <c r="BM27" i="1"/>
  <c r="BM3" i="1"/>
  <c r="BM97" i="1"/>
  <c r="BM55" i="1"/>
  <c r="BM11" i="1"/>
  <c r="BM72" i="1"/>
  <c r="BM7" i="1"/>
  <c r="BM24" i="1"/>
  <c r="BM74" i="1"/>
  <c r="BM54" i="1"/>
  <c r="BM66" i="1"/>
  <c r="BM93" i="1"/>
  <c r="BM101" i="1"/>
  <c r="BM56" i="1"/>
  <c r="BM104" i="1"/>
  <c r="BM38" i="1"/>
  <c r="BM96" i="1"/>
  <c r="BM84" i="1"/>
  <c r="BM42" i="1"/>
  <c r="BM65" i="1"/>
  <c r="BM81" i="1"/>
  <c r="BM80" i="1"/>
  <c r="BM8" i="1"/>
  <c r="BM15" i="1"/>
  <c r="BM12" i="1"/>
  <c r="BM48" i="1"/>
  <c r="BM70" i="1"/>
  <c r="BM43" i="1"/>
  <c r="BM32" i="1"/>
  <c r="BM69" i="1"/>
  <c r="BM68" i="1"/>
  <c r="BM67" i="1"/>
  <c r="BM34" i="1"/>
  <c r="BM13" i="1"/>
  <c r="BM61" i="1"/>
  <c r="BM26" i="1"/>
  <c r="BM90" i="1"/>
  <c r="BM53" i="1"/>
  <c r="BM62" i="1"/>
  <c r="BM63" i="1"/>
  <c r="BM22" i="1"/>
  <c r="BM105" i="1"/>
  <c r="BM49" i="1"/>
  <c r="BM45" i="1"/>
  <c r="BM44" i="1"/>
  <c r="BM60" i="1"/>
  <c r="BM57" i="1"/>
  <c r="BM86" i="1"/>
  <c r="BM85" i="1"/>
  <c r="BM28" i="1"/>
  <c r="BM106" i="1"/>
  <c r="BM33" i="1"/>
  <c r="BM59" i="1"/>
  <c r="BM5" i="1"/>
  <c r="BM64" i="1"/>
  <c r="BM14" i="1"/>
  <c r="BM58" i="1"/>
  <c r="BM10" i="1"/>
  <c r="BM79" i="1"/>
  <c r="BM71" i="1"/>
  <c r="BM2" i="1"/>
  <c r="BM89" i="1"/>
  <c r="BM91" i="1"/>
  <c r="BM92" i="1"/>
  <c r="BM87" i="1"/>
  <c r="BM19" i="1"/>
  <c r="BM95" i="1"/>
  <c r="BM88" i="1"/>
  <c r="BM109" i="1"/>
  <c r="BM108" i="1"/>
  <c r="BM83" i="1"/>
  <c r="BM75" i="1"/>
  <c r="BM36" i="1"/>
  <c r="BM20" i="1"/>
  <c r="BM9" i="1"/>
  <c r="BM31" i="1"/>
  <c r="BM25" i="1"/>
  <c r="BM46" i="1"/>
  <c r="BM29" i="1"/>
  <c r="BM30" i="1"/>
  <c r="BM40" i="1"/>
  <c r="BM103" i="1"/>
  <c r="BM110" i="1"/>
  <c r="BM102" i="1"/>
  <c r="BM100" i="1"/>
  <c r="BM99" i="1"/>
  <c r="BM23" i="1"/>
  <c r="BM47" i="1"/>
  <c r="BM35" i="1"/>
  <c r="BM4" i="1"/>
  <c r="BM98" i="1"/>
  <c r="BM82" i="1"/>
  <c r="BM107" i="1"/>
  <c r="BM94" i="1"/>
  <c r="BM17" i="1"/>
  <c r="BM78" i="1"/>
  <c r="BM52" i="1"/>
  <c r="BM41" i="1"/>
  <c r="BM39" i="1"/>
  <c r="BM6" i="1"/>
  <c r="BM16" i="1"/>
  <c r="BM113" i="1"/>
  <c r="BM112" i="1"/>
  <c r="BL112" i="1"/>
  <c r="BK116" i="1"/>
  <c r="BK115" i="1"/>
  <c r="BK114" i="1"/>
  <c r="AQ121" i="1"/>
  <c r="AQ120" i="1"/>
  <c r="AQ119" i="1"/>
  <c r="AP117" i="1"/>
  <c r="AP115" i="1"/>
  <c r="AE116" i="1"/>
  <c r="AF116" i="1"/>
  <c r="AG116" i="1"/>
  <c r="AH116" i="1"/>
  <c r="AI116" i="1"/>
  <c r="AJ116" i="1"/>
  <c r="AK116" i="1"/>
  <c r="AL116" i="1"/>
  <c r="AM116" i="1"/>
  <c r="AN116" i="1"/>
  <c r="AO116" i="1"/>
  <c r="AE115" i="1"/>
  <c r="AF115" i="1"/>
  <c r="AG115" i="1"/>
  <c r="AH115" i="1"/>
  <c r="AI115" i="1"/>
  <c r="AJ115" i="1"/>
  <c r="AK115" i="1"/>
  <c r="AL115" i="1"/>
  <c r="AM115" i="1"/>
  <c r="AN115" i="1"/>
  <c r="AO115" i="1"/>
  <c r="AE114" i="1"/>
  <c r="AF114" i="1"/>
  <c r="AG114" i="1"/>
  <c r="AH114" i="1"/>
  <c r="AI114" i="1"/>
  <c r="AJ114" i="1"/>
  <c r="AK114" i="1"/>
  <c r="AL114" i="1"/>
  <c r="AM114" i="1"/>
  <c r="AN114" i="1"/>
  <c r="AO114" i="1"/>
  <c r="AF112" i="1"/>
  <c r="AG112" i="1"/>
  <c r="AH112" i="1"/>
  <c r="AI112" i="1"/>
  <c r="AJ112" i="1"/>
  <c r="AK112" i="1"/>
  <c r="AL112" i="1"/>
  <c r="AM112" i="1"/>
  <c r="AN112" i="1"/>
  <c r="AO112" i="1"/>
  <c r="AE113" i="1"/>
  <c r="AF113" i="1"/>
  <c r="AG113" i="1"/>
  <c r="AH113" i="1"/>
  <c r="AI113" i="1"/>
  <c r="AJ113" i="1"/>
  <c r="AK113" i="1"/>
  <c r="AL113" i="1"/>
  <c r="AM113" i="1"/>
  <c r="AN113" i="1"/>
  <c r="AO113" i="1"/>
  <c r="AE112" i="1"/>
  <c r="AD116" i="1"/>
  <c r="AD115" i="1"/>
  <c r="AD114" i="1"/>
  <c r="AD113" i="1"/>
  <c r="AD112" i="1"/>
  <c r="AB114" i="1"/>
  <c r="AA114" i="1"/>
  <c r="Z115" i="1"/>
  <c r="Z114" i="1"/>
  <c r="Z113" i="1"/>
  <c r="Y115" i="1"/>
  <c r="Y114" i="1"/>
  <c r="Y113" i="1"/>
  <c r="X115" i="1"/>
  <c r="X114" i="1"/>
  <c r="X113" i="1"/>
  <c r="W113" i="1"/>
  <c r="W115" i="1"/>
  <c r="W114" i="1"/>
  <c r="V115" i="1"/>
  <c r="V114" i="1"/>
  <c r="V113" i="1"/>
  <c r="U115" i="1"/>
  <c r="U114" i="1"/>
  <c r="U113" i="1"/>
  <c r="T115" i="1"/>
  <c r="T114" i="1"/>
  <c r="T113" i="1"/>
  <c r="S115" i="1"/>
  <c r="S114" i="1"/>
  <c r="S113" i="1"/>
  <c r="R115" i="1"/>
  <c r="R114" i="1"/>
  <c r="R113" i="1"/>
  <c r="Q115" i="1"/>
  <c r="Q114" i="1"/>
  <c r="Q113" i="1"/>
  <c r="P115" i="1"/>
  <c r="P114" i="1"/>
  <c r="P113" i="1"/>
  <c r="N112" i="1"/>
  <c r="M112" i="1"/>
  <c r="L112" i="1"/>
  <c r="N117" i="1"/>
  <c r="N116" i="1"/>
  <c r="N115" i="1"/>
  <c r="N114" i="1"/>
  <c r="N113" i="1"/>
  <c r="M116" i="1"/>
  <c r="M115" i="1"/>
  <c r="M113" i="1"/>
  <c r="L118" i="1"/>
  <c r="L117" i="1"/>
  <c r="L116" i="1"/>
  <c r="L115" i="1"/>
  <c r="L114" i="1"/>
  <c r="L113" i="1"/>
  <c r="M114" i="1"/>
  <c r="L121" i="1"/>
  <c r="L120" i="1"/>
  <c r="L119" i="1"/>
  <c r="H123" i="1"/>
  <c r="H122" i="1"/>
  <c r="H121" i="1"/>
  <c r="G114" i="1"/>
  <c r="F116" i="1"/>
  <c r="F114" i="1"/>
  <c r="G116" i="1"/>
  <c r="G115" i="1"/>
  <c r="G113" i="1"/>
  <c r="G112" i="1"/>
  <c r="F115" i="1"/>
  <c r="F113" i="1"/>
  <c r="F112" i="1"/>
  <c r="H120" i="1"/>
  <c r="H119" i="1"/>
  <c r="H115" i="1"/>
  <c r="H114" i="1"/>
  <c r="H112" i="1"/>
  <c r="H113" i="1"/>
  <c r="BQ112" i="1"/>
  <c r="BO112" i="1"/>
  <c r="L134" i="1"/>
  <c r="BG114" i="1"/>
  <c r="BQ114" i="1"/>
  <c r="BQ113" i="1"/>
  <c r="H125" i="1"/>
  <c r="H133" i="1"/>
  <c r="H132" i="1"/>
  <c r="H128" i="1"/>
  <c r="H127" i="1"/>
  <c r="H126" i="1"/>
  <c r="H134" i="1"/>
  <c r="H135" i="1"/>
  <c r="M134" i="1"/>
</calcChain>
</file>

<file path=xl/sharedStrings.xml><?xml version="1.0" encoding="utf-8"?>
<sst xmlns="http://schemas.openxmlformats.org/spreadsheetml/2006/main" count="942" uniqueCount="460">
  <si>
    <t>ID</t>
  </si>
  <si>
    <t>Stilling</t>
  </si>
  <si>
    <t>SP1</t>
  </si>
  <si>
    <t>SP2</t>
  </si>
  <si>
    <t>SP3</t>
  </si>
  <si>
    <t>SP4</t>
  </si>
  <si>
    <t>SP5</t>
  </si>
  <si>
    <t>SP6</t>
  </si>
  <si>
    <t>SP7</t>
  </si>
  <si>
    <t>SP8-1</t>
  </si>
  <si>
    <t>SP8-2</t>
  </si>
  <si>
    <t>SP8-3</t>
  </si>
  <si>
    <t>SP8-4</t>
  </si>
  <si>
    <t>SP8-5</t>
  </si>
  <si>
    <t>SP8-6</t>
  </si>
  <si>
    <t>SP8-7</t>
  </si>
  <si>
    <t>SP8-8</t>
  </si>
  <si>
    <t>SP8-9</t>
  </si>
  <si>
    <t>SP8-10</t>
  </si>
  <si>
    <t>SP8-11</t>
  </si>
  <si>
    <t>SP8-12</t>
  </si>
  <si>
    <t>SP9</t>
  </si>
  <si>
    <t>SP10</t>
  </si>
  <si>
    <t>SP11</t>
  </si>
  <si>
    <t>SP12-1</t>
  </si>
  <si>
    <t>SP12-2</t>
  </si>
  <si>
    <t>SP12-3</t>
  </si>
  <si>
    <t>SP12-4</t>
  </si>
  <si>
    <t>SP12-5</t>
  </si>
  <si>
    <t>SP12-6</t>
  </si>
  <si>
    <t>SP12-7</t>
  </si>
  <si>
    <t>SP12-8</t>
  </si>
  <si>
    <t>SP12-9</t>
  </si>
  <si>
    <t>SP12-10</t>
  </si>
  <si>
    <t>SP12-11</t>
  </si>
  <si>
    <t>SP12-12</t>
  </si>
  <si>
    <t>SP13</t>
  </si>
  <si>
    <t>SP14</t>
  </si>
  <si>
    <t>SP17</t>
  </si>
  <si>
    <t>SP18</t>
  </si>
  <si>
    <t>SP19</t>
  </si>
  <si>
    <t>SP20</t>
  </si>
  <si>
    <t>SP21</t>
  </si>
  <si>
    <t>SP22</t>
  </si>
  <si>
    <t>SP23</t>
  </si>
  <si>
    <t>SP24</t>
  </si>
  <si>
    <t>SP25</t>
  </si>
  <si>
    <t>SP26</t>
  </si>
  <si>
    <t>SP27</t>
  </si>
  <si>
    <t>SP28</t>
  </si>
  <si>
    <t>SP29</t>
  </si>
  <si>
    <t>SP30</t>
  </si>
  <si>
    <t>SP31</t>
  </si>
  <si>
    <t>SP32-1</t>
  </si>
  <si>
    <t>SP32-2</t>
  </si>
  <si>
    <t>SP32-3</t>
  </si>
  <si>
    <t>SP32-4</t>
  </si>
  <si>
    <t>SP32-5</t>
  </si>
  <si>
    <t>SP32-6</t>
  </si>
  <si>
    <t>SP32-7</t>
  </si>
  <si>
    <t>SP32-8</t>
  </si>
  <si>
    <t>SP32-9</t>
  </si>
  <si>
    <t>SP32-10</t>
  </si>
  <si>
    <t>SP32-11</t>
  </si>
  <si>
    <t>SP32-12</t>
  </si>
  <si>
    <t>SP32-13</t>
  </si>
  <si>
    <t>SP32-14</t>
  </si>
  <si>
    <t>SP32-15</t>
  </si>
  <si>
    <t>SP32-16</t>
  </si>
  <si>
    <t>SP32-17</t>
  </si>
  <si>
    <t>SP33</t>
  </si>
  <si>
    <t>SP34</t>
  </si>
  <si>
    <t>SP35</t>
  </si>
  <si>
    <t>SP15-KG</t>
  </si>
  <si>
    <t>SP15-M3</t>
  </si>
  <si>
    <t>SP15-PLL</t>
  </si>
  <si>
    <t>SP15-FBV</t>
  </si>
  <si>
    <t>SP16-KG</t>
  </si>
  <si>
    <t>SP16-M3</t>
  </si>
  <si>
    <t>SP16-PLL</t>
  </si>
  <si>
    <t>SP16-FBV</t>
  </si>
  <si>
    <t>Medarbeider</t>
  </si>
  <si>
    <t>SP1-A</t>
  </si>
  <si>
    <t>Dør</t>
  </si>
  <si>
    <t>FEDEX. TNT</t>
  </si>
  <si>
    <t>Butikksjef</t>
  </si>
  <si>
    <t>SP27-A</t>
  </si>
  <si>
    <t>Ass. Butikksjef</t>
  </si>
  <si>
    <t>Madland Transport</t>
  </si>
  <si>
    <t>Kjøkkenutstyr</t>
  </si>
  <si>
    <t>Bestyrer</t>
  </si>
  <si>
    <t>Daglig leder</t>
  </si>
  <si>
    <t>UPS</t>
  </si>
  <si>
    <t>Leketøy</t>
  </si>
  <si>
    <t>Sportsutstyr</t>
  </si>
  <si>
    <t>Gourmet / gave</t>
  </si>
  <si>
    <t>Danielsen, Norganic, Ecklund</t>
  </si>
  <si>
    <t>Lille Ba Herremann</t>
  </si>
  <si>
    <t>Lager / dekoratør</t>
  </si>
  <si>
    <t>Spill</t>
  </si>
  <si>
    <t>Souvenirer</t>
  </si>
  <si>
    <t>Nor Engros</t>
  </si>
  <si>
    <t>Klokkefix</t>
  </si>
  <si>
    <t>Sidedør</t>
  </si>
  <si>
    <t>Reperasjon mobil</t>
  </si>
  <si>
    <t>Smykker/tilbehør</t>
  </si>
  <si>
    <t>Salgsansvarlig</t>
  </si>
  <si>
    <t>Egne vogner/bur</t>
  </si>
  <si>
    <t>Diverse gaveartikler</t>
  </si>
  <si>
    <t>Kaffeutsalg</t>
  </si>
  <si>
    <t>Dykkerutstyr</t>
  </si>
  <si>
    <t>Lokale småtransportører</t>
  </si>
  <si>
    <t>Norblomst, Blomsterringen</t>
  </si>
  <si>
    <t>NL</t>
  </si>
  <si>
    <t>TNT, UPS</t>
  </si>
  <si>
    <t>Reiseliv</t>
  </si>
  <si>
    <t>Jotun</t>
  </si>
  <si>
    <t>Direkte fra lift på bil</t>
  </si>
  <si>
    <t>Leketøy, kjøkkenutstyr</t>
  </si>
  <si>
    <t>Hudpleie</t>
  </si>
  <si>
    <t>Kai Hansen</t>
  </si>
  <si>
    <t>Tannlege</t>
  </si>
  <si>
    <t>Flere små leverandører</t>
  </si>
  <si>
    <t>Vikar</t>
  </si>
  <si>
    <t>Rederi</t>
  </si>
  <si>
    <t>Magnar Eikeland</t>
  </si>
  <si>
    <t>Varmespesialist</t>
  </si>
  <si>
    <t>Flikkerud</t>
  </si>
  <si>
    <t>Sekretær</t>
  </si>
  <si>
    <t>Øyelege</t>
  </si>
  <si>
    <t>Skoleverandør</t>
  </si>
  <si>
    <t>Transporterer selv</t>
  </si>
  <si>
    <t>DSV</t>
  </si>
  <si>
    <t>Logistikkansvarlig</t>
  </si>
  <si>
    <t>Kingsrød</t>
  </si>
  <si>
    <t>HR Manager</t>
  </si>
  <si>
    <t>Egen transportør til alle Zara butikker</t>
  </si>
  <si>
    <t>Koffert / veske</t>
  </si>
  <si>
    <t>Gave</t>
  </si>
  <si>
    <t>Fotobutikk</t>
  </si>
  <si>
    <t>Bjørgs transport</t>
  </si>
  <si>
    <t>Vesker</t>
  </si>
  <si>
    <t>Egen transportør for EuroSKO kjeden</t>
  </si>
  <si>
    <t>Leketøy / barneutstyr</t>
  </si>
  <si>
    <t>Konsolideres fra sentrallager i Oslo</t>
  </si>
  <si>
    <t>SP15-FVB_2</t>
  </si>
  <si>
    <t>SP16-FBV_2</t>
  </si>
  <si>
    <t>SP19_2</t>
  </si>
  <si>
    <t>SP24_2</t>
  </si>
  <si>
    <t>Ryggsekk</t>
  </si>
  <si>
    <t>Bring</t>
  </si>
  <si>
    <t>DB Schenker</t>
  </si>
  <si>
    <t>DHL</t>
  </si>
  <si>
    <t>Kuehne + Nagel</t>
  </si>
  <si>
    <t>Totalt pr mnd</t>
  </si>
  <si>
    <t>Totalt pr dag</t>
  </si>
  <si>
    <t>SP4_MND</t>
  </si>
  <si>
    <t>SP4_DAG</t>
  </si>
  <si>
    <t>SP20_P/D</t>
  </si>
  <si>
    <t>Musikkinstrumenter</t>
  </si>
  <si>
    <t>Optician</t>
  </si>
  <si>
    <t>Cosmetics</t>
  </si>
  <si>
    <t>Hairdresser</t>
  </si>
  <si>
    <t>Pharmacy</t>
  </si>
  <si>
    <t>Music</t>
  </si>
  <si>
    <t>Building materials</t>
  </si>
  <si>
    <t>Shoes</t>
  </si>
  <si>
    <t>Electronics</t>
  </si>
  <si>
    <t>Other</t>
  </si>
  <si>
    <t>Unknown</t>
  </si>
  <si>
    <t>Summeringer</t>
  </si>
  <si>
    <t>Dør eller ikke</t>
  </si>
  <si>
    <t>Industry</t>
  </si>
  <si>
    <t>Furniture/interior</t>
  </si>
  <si>
    <t>Gold/Watches</t>
  </si>
  <si>
    <t>Clothes</t>
  </si>
  <si>
    <t>Flowers</t>
  </si>
  <si>
    <t>Book store</t>
  </si>
  <si>
    <t>FVB per dag</t>
  </si>
  <si>
    <t>stopp</t>
  </si>
  <si>
    <t>m3</t>
  </si>
  <si>
    <t>Nissan e-NV20</t>
  </si>
  <si>
    <t>No of businesses who receives goods</t>
  </si>
  <si>
    <t>&gt;7 times per day</t>
  </si>
  <si>
    <t>6-7 times per day</t>
  </si>
  <si>
    <t>4-5 times per day</t>
  </si>
  <si>
    <t>2-3 times per day</t>
  </si>
  <si>
    <t>Once per day</t>
  </si>
  <si>
    <t>3-5 times per week</t>
  </si>
  <si>
    <t>1-2 times per week</t>
  </si>
  <si>
    <t>1-3 times per month</t>
  </si>
  <si>
    <t>&lt;- 1 per month</t>
  </si>
  <si>
    <t>Total number of deliveries per month</t>
  </si>
  <si>
    <t>Total number of deliveries per week</t>
  </si>
  <si>
    <t>Total number of deliveries per day</t>
  </si>
  <si>
    <t>Number of deliveries per month</t>
  </si>
  <si>
    <t>SP4_DAG new</t>
  </si>
  <si>
    <t>Reduction in stops from old to new system per day</t>
  </si>
  <si>
    <t>Reduction in stops from old to new system per week</t>
  </si>
  <si>
    <t>Reduction in stops from old to new system per month</t>
  </si>
  <si>
    <t>Reduction in stops from old to new system per year</t>
  </si>
  <si>
    <t>Time spent on deliveries</t>
  </si>
  <si>
    <t>minutes</t>
  </si>
  <si>
    <t>Unloading time per stop</t>
  </si>
  <si>
    <t>Driving time between stops</t>
  </si>
  <si>
    <t>Total stop time</t>
  </si>
  <si>
    <t>Number of stops per day</t>
  </si>
  <si>
    <t>Total weight and volume delivered per day</t>
  </si>
  <si>
    <t>Tons</t>
  </si>
  <si>
    <t>M3</t>
  </si>
  <si>
    <t>Tons capacity</t>
  </si>
  <si>
    <t>Volume capacity</t>
  </si>
  <si>
    <t>Number of cars required to fulfill the quantity requirements</t>
  </si>
  <si>
    <t>Driving time per car type</t>
  </si>
  <si>
    <t>Minutes per trip</t>
  </si>
  <si>
    <t>Hours per trip</t>
  </si>
  <si>
    <t>Average deliveries per month</t>
  </si>
  <si>
    <t>Time of an ordinary work day</t>
  </si>
  <si>
    <t>Costs</t>
  </si>
  <si>
    <t>Total storage space</t>
  </si>
  <si>
    <t>Electrical vehicle space</t>
  </si>
  <si>
    <t>Average required no of trips</t>
  </si>
  <si>
    <t>Volkswagen e-Crafter</t>
  </si>
  <si>
    <t xml:space="preserve">Volume capacity </t>
  </si>
  <si>
    <t>Volume per stop in tons</t>
  </si>
  <si>
    <t>Volume per stop in m3</t>
  </si>
  <si>
    <t>Number of stops restricted in tons</t>
  </si>
  <si>
    <t>Number of stops restricted in m3</t>
  </si>
  <si>
    <t>Average number of stops per trip</t>
  </si>
  <si>
    <t>Vehicle capacity calculation</t>
  </si>
  <si>
    <t>Possible tons delivered per day</t>
  </si>
  <si>
    <t>Possible cubic meters delivered per day</t>
  </si>
  <si>
    <t>Deviation required tons delivered per day</t>
  </si>
  <si>
    <t>Deviation required m3 delivered per day</t>
  </si>
  <si>
    <t>Average deviation in required no of trips per day</t>
  </si>
  <si>
    <t>Hotell</t>
  </si>
  <si>
    <t>Nor Tekstil</t>
  </si>
  <si>
    <t>Number of trips possible per workday in driving time</t>
  </si>
  <si>
    <t>One vehicle</t>
  </si>
  <si>
    <t>Two vehicles</t>
  </si>
  <si>
    <t>Number of stops per trip restricted in tons</t>
  </si>
  <si>
    <t>Number of stops per trip restricted in m3</t>
  </si>
  <si>
    <t>Time spent on one trip in minutes</t>
  </si>
  <si>
    <t>Time spent on one trip in hours</t>
  </si>
  <si>
    <t>Number of trips possible during one workday</t>
  </si>
  <si>
    <t>Length of an ordinary workday</t>
  </si>
  <si>
    <t>Missing average number of stops per day</t>
  </si>
  <si>
    <t>Time spent on the extra stops</t>
  </si>
  <si>
    <t>In hours</t>
  </si>
  <si>
    <t>Time vehicle is not in use</t>
  </si>
  <si>
    <t>Velove Armadillo</t>
  </si>
  <si>
    <t>Number of stops made per day</t>
  </si>
  <si>
    <t>Number of cubic meters delivered per day</t>
  </si>
  <si>
    <t>Number of tons delivered per day</t>
  </si>
  <si>
    <t>Required tons to be delivered per day</t>
  </si>
  <si>
    <t>Required cubic meters to be delivered per day</t>
  </si>
  <si>
    <t>Deviation in actual cubic meters delivered per day</t>
  </si>
  <si>
    <t>Deviation in actual tons delivered per day</t>
  </si>
  <si>
    <t>Number of tons remaining</t>
  </si>
  <si>
    <t>Number of cubic meters remaining</t>
  </si>
  <si>
    <t>Kilograms per trip</t>
  </si>
  <si>
    <t>Cubic meters per trip</t>
  </si>
  <si>
    <t>Necessary number of trips to deliver the missing volumes</t>
  </si>
  <si>
    <t xml:space="preserve">Time spent </t>
  </si>
  <si>
    <t>Heavy vehicle</t>
  </si>
  <si>
    <t>EURO 4</t>
  </si>
  <si>
    <t>EURO 5</t>
  </si>
  <si>
    <t>EURO 6</t>
  </si>
  <si>
    <t>City</t>
  </si>
  <si>
    <t>Queue</t>
  </si>
  <si>
    <t>Light vehicle</t>
  </si>
  <si>
    <t>Estimated number of cars</t>
  </si>
  <si>
    <t xml:space="preserve">Estimated kilometers driven in the city one trip </t>
  </si>
  <si>
    <t xml:space="preserve">Estimated kilometers in queue one trip </t>
  </si>
  <si>
    <t>Emissions per car</t>
  </si>
  <si>
    <t>FCW</t>
  </si>
  <si>
    <t>Nissan e-NV200</t>
  </si>
  <si>
    <t>Time spent per delivery</t>
  </si>
  <si>
    <t xml:space="preserve">Fixed time </t>
  </si>
  <si>
    <t xml:space="preserve">Variable time </t>
  </si>
  <si>
    <t>Current system</t>
  </si>
  <si>
    <t>Average number of deliveries per retailer per month</t>
  </si>
  <si>
    <t>Average number of deliveries per retailer per day</t>
  </si>
  <si>
    <t>Number of stops per day in total old system</t>
  </si>
  <si>
    <t>Number of stops per day in total new system</t>
  </si>
  <si>
    <t>Average number of stops per retailer per day old system</t>
  </si>
  <si>
    <t>Average number of stops per retailer per day new system</t>
  </si>
  <si>
    <t xml:space="preserve">Reduction in average number of deliveries </t>
  </si>
  <si>
    <t>Emissions in total per day</t>
  </si>
  <si>
    <t>Sum</t>
  </si>
  <si>
    <t>Gram</t>
  </si>
  <si>
    <t>Per day</t>
  </si>
  <si>
    <t>Per week</t>
  </si>
  <si>
    <t>Per month</t>
  </si>
  <si>
    <t>Reducing number of deliveries per retailer to maximum 1 per day</t>
  </si>
  <si>
    <t xml:space="preserve">Total driving time to and from consolidation centre </t>
  </si>
  <si>
    <t>NO2 (g/km)</t>
  </si>
  <si>
    <t>Per year</t>
  </si>
  <si>
    <t>CO2(g/km)</t>
  </si>
  <si>
    <t>CO2 (g/km)</t>
  </si>
  <si>
    <t>Emissions without queue driving</t>
  </si>
  <si>
    <t>Emissions from city and queue driving</t>
  </si>
  <si>
    <t>Reduction in emissions eliminating queue driving</t>
  </si>
  <si>
    <t>Cubic meter</t>
  </si>
  <si>
    <t>Height</t>
  </si>
  <si>
    <t>Length</t>
  </si>
  <si>
    <t>Width</t>
  </si>
  <si>
    <t>Size</t>
  </si>
  <si>
    <t>Total size</t>
  </si>
  <si>
    <t>Square meter</t>
  </si>
  <si>
    <t>Unloading area</t>
  </si>
  <si>
    <t>Unloading ramp</t>
  </si>
  <si>
    <t>Loading ramp</t>
  </si>
  <si>
    <t>NOK</t>
  </si>
  <si>
    <t>Investments</t>
  </si>
  <si>
    <t>Material</t>
  </si>
  <si>
    <t>Vehicles</t>
  </si>
  <si>
    <t>m2</t>
  </si>
  <si>
    <t>Unit</t>
  </si>
  <si>
    <t>Personnel</t>
  </si>
  <si>
    <t>Insurance</t>
  </si>
  <si>
    <t>Person/year</t>
  </si>
  <si>
    <t>Volume distributed per year</t>
  </si>
  <si>
    <t>km</t>
  </si>
  <si>
    <t>Distance driven per vehicle per year</t>
  </si>
  <si>
    <t>Operating costs</t>
  </si>
  <si>
    <t>Centre</t>
  </si>
  <si>
    <t>Total investment costs</t>
  </si>
  <si>
    <t>Annual cost</t>
  </si>
  <si>
    <t>Energy costs vehicles</t>
  </si>
  <si>
    <t xml:space="preserve">Per </t>
  </si>
  <si>
    <t>Depreciation building</t>
  </si>
  <si>
    <t>Depreciation vehicle</t>
  </si>
  <si>
    <t>Reduction in cars</t>
  </si>
  <si>
    <t>Total number of deliveries per year</t>
  </si>
  <si>
    <t>Reduction in stop time per day</t>
  </si>
  <si>
    <t>Reduction in stop time per week</t>
  </si>
  <si>
    <t>Reduction in stop time per month</t>
  </si>
  <si>
    <t>Reduction in stop time per year</t>
  </si>
  <si>
    <t>hours</t>
  </si>
  <si>
    <t>Total operating costs</t>
  </si>
  <si>
    <t>Total investment</t>
  </si>
  <si>
    <t>Building</t>
  </si>
  <si>
    <t>Vehicle</t>
  </si>
  <si>
    <t>Kilometers</t>
  </si>
  <si>
    <t>Consolidation centre</t>
  </si>
  <si>
    <t>Consolidation centre calculations</t>
  </si>
  <si>
    <t>Emissions NO2</t>
  </si>
  <si>
    <t>Emissions CO2</t>
  </si>
  <si>
    <t>Emissions in total per week</t>
  </si>
  <si>
    <t>Emissions in total per month</t>
  </si>
  <si>
    <t>Emissions in total per year</t>
  </si>
  <si>
    <t>Kilogram</t>
  </si>
  <si>
    <t>Average</t>
  </si>
  <si>
    <t>Average reduction</t>
  </si>
  <si>
    <t>Tonne</t>
  </si>
  <si>
    <t>Gram per year</t>
  </si>
  <si>
    <t>Kilogram per year</t>
  </si>
  <si>
    <t>Tonne per year</t>
  </si>
  <si>
    <t>Percentage per day</t>
  </si>
  <si>
    <t>Reduced emissions utilizing electrical vehicles</t>
  </si>
  <si>
    <t>Kilograms per year</t>
  </si>
  <si>
    <t>Tonnes per year</t>
  </si>
  <si>
    <t>NO2 reduction eliminating queues</t>
  </si>
  <si>
    <t>CO2 reduction eliminating queues</t>
  </si>
  <si>
    <t>Navn på virksomhet</t>
  </si>
  <si>
    <t>Adresse</t>
  </si>
  <si>
    <t>SP2-1</t>
  </si>
  <si>
    <t>SP2-2</t>
  </si>
  <si>
    <t>SP2-3</t>
  </si>
  <si>
    <t>SP2-4</t>
  </si>
  <si>
    <t>SP2-5</t>
  </si>
  <si>
    <t>SP2-6</t>
  </si>
  <si>
    <t>SP2-7</t>
  </si>
  <si>
    <t>SP3-1</t>
  </si>
  <si>
    <t>SP3-1-1</t>
  </si>
  <si>
    <t>SP3-2</t>
  </si>
  <si>
    <t>SP3-2-1</t>
  </si>
  <si>
    <t>SP3-3</t>
  </si>
  <si>
    <t>SP3-3-1</t>
  </si>
  <si>
    <t>SP3-4</t>
  </si>
  <si>
    <t>SP3-5</t>
  </si>
  <si>
    <t>SP3-6</t>
  </si>
  <si>
    <t>SP4-1</t>
  </si>
  <si>
    <t>SP4-2</t>
  </si>
  <si>
    <t>SP4-3</t>
  </si>
  <si>
    <t>SP4-4</t>
  </si>
  <si>
    <t>SP4-5</t>
  </si>
  <si>
    <t>SP4-6</t>
  </si>
  <si>
    <t>SP5-AKT</t>
  </si>
  <si>
    <t>SP8</t>
  </si>
  <si>
    <t>SP10-1</t>
  </si>
  <si>
    <t>SP10-2</t>
  </si>
  <si>
    <t>SP10-3</t>
  </si>
  <si>
    <t>SP10-4</t>
  </si>
  <si>
    <t>SP10-5</t>
  </si>
  <si>
    <t>SP10-6</t>
  </si>
  <si>
    <t>SP10-7</t>
  </si>
  <si>
    <t>SP10-8</t>
  </si>
  <si>
    <t>SP10-9</t>
  </si>
  <si>
    <t>SP10-10</t>
  </si>
  <si>
    <t>SP10-11</t>
  </si>
  <si>
    <t>SP10-12</t>
  </si>
  <si>
    <t>SP11-Kommentar</t>
  </si>
  <si>
    <t>SP12</t>
  </si>
  <si>
    <t>SP13-1</t>
  </si>
  <si>
    <t>SP13-2</t>
  </si>
  <si>
    <t>SP13-3</t>
  </si>
  <si>
    <t>SP13-4</t>
  </si>
  <si>
    <t>SP13-5</t>
  </si>
  <si>
    <t>SP13-6</t>
  </si>
  <si>
    <t>SP13-7</t>
  </si>
  <si>
    <t>SP13-8</t>
  </si>
  <si>
    <t>SP13-9</t>
  </si>
  <si>
    <t>SP13-10</t>
  </si>
  <si>
    <t>SP13-11</t>
  </si>
  <si>
    <t>SP13-12</t>
  </si>
  <si>
    <t>SP15-1</t>
  </si>
  <si>
    <t>SP15-2</t>
  </si>
  <si>
    <t>SP15-3</t>
  </si>
  <si>
    <t>SP15-4</t>
  </si>
  <si>
    <t>SP15-5</t>
  </si>
  <si>
    <t>SP15-6</t>
  </si>
  <si>
    <t>SP16-FVB_2</t>
  </si>
  <si>
    <t>SP17-KG</t>
  </si>
  <si>
    <t>SP17-M3</t>
  </si>
  <si>
    <t>SP17-PLL</t>
  </si>
  <si>
    <t>SP17-FBV</t>
  </si>
  <si>
    <t>SP17-FBV_2</t>
  </si>
  <si>
    <t>SP29-1</t>
  </si>
  <si>
    <t>SP29-2</t>
  </si>
  <si>
    <t>SP29-3</t>
  </si>
  <si>
    <t>SP32</t>
  </si>
  <si>
    <t>Ringnes</t>
  </si>
  <si>
    <t>Godsterminalen Ganddal</t>
  </si>
  <si>
    <t>3</t>
  </si>
  <si>
    <t>Kø, Markiser, uteservering, reklameskilt, stenging av Vågen</t>
  </si>
  <si>
    <t>Tine SA</t>
  </si>
  <si>
    <t>Grannessletta 112</t>
  </si>
  <si>
    <t>1 ,2 , 3</t>
  </si>
  <si>
    <t>Skole, kantine, sykehus, militært</t>
  </si>
  <si>
    <t>Nøkler til utvalgte kunder</t>
  </si>
  <si>
    <t>1</t>
  </si>
  <si>
    <t>Kø, Markiser, uteservering, reklameskilt, stenging av Vågen, arbeid</t>
  </si>
  <si>
    <t>Risavika Havnering 247</t>
  </si>
  <si>
    <t>Risavika Havnering 100</t>
  </si>
  <si>
    <t>Kø</t>
  </si>
  <si>
    <t>1,2,3</t>
  </si>
  <si>
    <t>Jærveien 334</t>
  </si>
  <si>
    <t>6 5 4</t>
  </si>
  <si>
    <t>Postnord</t>
  </si>
  <si>
    <t>Jærveien 336</t>
  </si>
  <si>
    <t>Rekalmeskilt, stillas, arbeid</t>
  </si>
  <si>
    <t>Lagerveien 19</t>
  </si>
  <si>
    <t>Åpningstider, arrangement</t>
  </si>
  <si>
    <t>Moseidveien 29</t>
  </si>
  <si>
    <t>Industri / vaskeri</t>
  </si>
  <si>
    <t>Parkeringsforhold, skilting, stenging av Vågen</t>
  </si>
  <si>
    <t>Brämhults</t>
  </si>
  <si>
    <t>Dusavikveien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</si>
</sst>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00"/>
    <numFmt numFmtId="167" formatCode="0.0000"/>
    <numFmt numFmtId="169" formatCode="_-* #,##0.0_-;\-* #,##0.0_-;_-* &quot;-&quot;??_-;_-@_-"/>
    <numFmt numFmtId="171" formatCode="_-* #,##0.000_-;\-* #,##0.000_-;_-* &quot;-&quot;??_-;_-@_-"/>
  </numFmts>
  <fonts count="13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20"/>
      <color theme="1"/>
      <name val="Arial"/>
    </font>
    <font>
      <u/>
      <sz val="12"/>
      <color theme="1"/>
      <name val="Arial"/>
    </font>
    <font>
      <i/>
      <sz val="12"/>
      <color theme="1"/>
      <name val="Arial"/>
    </font>
    <font>
      <b/>
      <sz val="12"/>
      <color rgb="FF000000"/>
      <name val="Arial"/>
    </font>
    <font>
      <b/>
      <i/>
      <sz val="12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35">
    <xf numFmtId="0" fontId="0" fillId="0" borderId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1" fontId="0" fillId="0" borderId="0" xfId="0" applyNumberFormat="1"/>
    <xf numFmtId="0" fontId="0" fillId="0" borderId="0" xfId="0" applyNumberFormat="1"/>
    <xf numFmtId="49" fontId="0" fillId="0" borderId="0" xfId="0" applyNumberFormat="1"/>
    <xf numFmtId="0" fontId="2" fillId="0" borderId="0" xfId="0" applyNumberFormat="1" applyFont="1"/>
    <xf numFmtId="0" fontId="1" fillId="0" borderId="0" xfId="0" applyNumberFormat="1" applyFont="1"/>
    <xf numFmtId="0" fontId="0" fillId="0" borderId="0" xfId="0" applyNumberFormat="1" applyFont="1"/>
    <xf numFmtId="9" fontId="0" fillId="0" borderId="0" xfId="0" applyNumberFormat="1"/>
    <xf numFmtId="1" fontId="3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1" applyFont="1"/>
    <xf numFmtId="2" fontId="0" fillId="0" borderId="0" xfId="0" applyNumberFormat="1"/>
    <xf numFmtId="164" fontId="2" fillId="0" borderId="0" xfId="0" applyNumberFormat="1" applyFont="1"/>
    <xf numFmtId="2" fontId="1" fillId="0" borderId="0" xfId="0" applyNumberFormat="1" applyFont="1"/>
    <xf numFmtId="165" fontId="0" fillId="0" borderId="0" xfId="380" applyNumberFormat="1" applyFont="1"/>
    <xf numFmtId="165" fontId="0" fillId="0" borderId="0" xfId="0" applyNumberFormat="1"/>
    <xf numFmtId="0" fontId="8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0" xfId="0" applyNumberFormat="1" applyBorder="1"/>
    <xf numFmtId="0" fontId="0" fillId="0" borderId="9" xfId="0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Fill="1" applyBorder="1"/>
    <xf numFmtId="1" fontId="0" fillId="0" borderId="0" xfId="0" applyNumberFormat="1" applyBorder="1"/>
    <xf numFmtId="2" fontId="0" fillId="0" borderId="0" xfId="0" applyNumberFormat="1" applyBorder="1"/>
    <xf numFmtId="0" fontId="8" fillId="0" borderId="0" xfId="0" applyFont="1" applyAlignment="1">
      <alignment vertical="center"/>
    </xf>
    <xf numFmtId="0" fontId="0" fillId="0" borderId="14" xfId="0" applyBorder="1"/>
    <xf numFmtId="0" fontId="8" fillId="0" borderId="0" xfId="0" applyFont="1" applyBorder="1" applyAlignment="1">
      <alignment horizontal="center" vertical="center"/>
    </xf>
    <xf numFmtId="0" fontId="3" fillId="0" borderId="1" xfId="0" applyFont="1" applyBorder="1"/>
    <xf numFmtId="0" fontId="0" fillId="0" borderId="4" xfId="0" applyFill="1" applyBorder="1"/>
    <xf numFmtId="0" fontId="9" fillId="0" borderId="4" xfId="0" applyFont="1" applyFill="1" applyBorder="1"/>
    <xf numFmtId="1" fontId="0" fillId="0" borderId="4" xfId="0" applyNumberFormat="1" applyBorder="1"/>
    <xf numFmtId="1" fontId="0" fillId="0" borderId="5" xfId="0" applyNumberFormat="1" applyBorder="1"/>
    <xf numFmtId="0" fontId="0" fillId="0" borderId="6" xfId="0" applyFill="1" applyBorder="1"/>
    <xf numFmtId="1" fontId="0" fillId="0" borderId="8" xfId="0" applyNumberFormat="1" applyBorder="1"/>
    <xf numFmtId="1" fontId="3" fillId="0" borderId="1" xfId="0" applyNumberFormat="1" applyFont="1" applyBorder="1"/>
    <xf numFmtId="2" fontId="0" fillId="0" borderId="5" xfId="0" applyNumberFormat="1" applyBorder="1"/>
    <xf numFmtId="0" fontId="9" fillId="0" borderId="4" xfId="0" applyFont="1" applyBorder="1"/>
    <xf numFmtId="164" fontId="0" fillId="0" borderId="5" xfId="0" applyNumberFormat="1" applyBorder="1"/>
    <xf numFmtId="2" fontId="0" fillId="0" borderId="8" xfId="0" applyNumberFormat="1" applyBorder="1"/>
    <xf numFmtId="0" fontId="0" fillId="0" borderId="15" xfId="0" applyBorder="1"/>
    <xf numFmtId="2" fontId="0" fillId="0" borderId="16" xfId="0" applyNumberFormat="1" applyBorder="1"/>
    <xf numFmtId="165" fontId="0" fillId="0" borderId="8" xfId="380" applyNumberFormat="1" applyFont="1" applyBorder="1"/>
    <xf numFmtId="16" fontId="0" fillId="0" borderId="0" xfId="0" applyNumberFormat="1"/>
    <xf numFmtId="0" fontId="0" fillId="0" borderId="4" xfId="0" applyFont="1" applyBorder="1"/>
    <xf numFmtId="0" fontId="0" fillId="0" borderId="6" xfId="0" applyFont="1" applyBorder="1"/>
    <xf numFmtId="0" fontId="0" fillId="0" borderId="1" xfId="0" applyBorder="1"/>
    <xf numFmtId="1" fontId="0" fillId="0" borderId="3" xfId="0" applyNumberFormat="1" applyBorder="1"/>
    <xf numFmtId="164" fontId="0" fillId="0" borderId="0" xfId="0" applyNumberFormat="1" applyBorder="1"/>
    <xf numFmtId="1" fontId="9" fillId="0" borderId="0" xfId="0" applyNumberFormat="1" applyFont="1" applyBorder="1"/>
    <xf numFmtId="0" fontId="0" fillId="0" borderId="15" xfId="0" applyFill="1" applyBorder="1"/>
    <xf numFmtId="164" fontId="0" fillId="0" borderId="8" xfId="0" applyNumberFormat="1" applyBorder="1"/>
    <xf numFmtId="1" fontId="0" fillId="0" borderId="4" xfId="0" applyNumberFormat="1" applyFill="1" applyBorder="1"/>
    <xf numFmtId="164" fontId="0" fillId="0" borderId="9" xfId="0" applyNumberFormat="1" applyBorder="1"/>
    <xf numFmtId="1" fontId="9" fillId="0" borderId="1" xfId="0" applyNumberFormat="1" applyFont="1" applyBorder="1"/>
    <xf numFmtId="0" fontId="8" fillId="0" borderId="0" xfId="0" applyFont="1" applyAlignment="1">
      <alignment horizontal="center" vertical="center"/>
    </xf>
    <xf numFmtId="0" fontId="0" fillId="0" borderId="18" xfId="0" applyBorder="1"/>
    <xf numFmtId="1" fontId="0" fillId="2" borderId="16" xfId="0" applyNumberFormat="1" applyFill="1" applyBorder="1"/>
    <xf numFmtId="1" fontId="0" fillId="0" borderId="5" xfId="0" applyNumberFormat="1" applyFill="1" applyBorder="1"/>
    <xf numFmtId="164" fontId="0" fillId="3" borderId="9" xfId="0" applyNumberFormat="1" applyFill="1" applyBorder="1"/>
    <xf numFmtId="1" fontId="0" fillId="3" borderId="5" xfId="0" applyNumberFormat="1" applyFill="1" applyBorder="1"/>
    <xf numFmtId="0" fontId="0" fillId="0" borderId="14" xfId="0" applyFill="1" applyBorder="1"/>
    <xf numFmtId="0" fontId="9" fillId="0" borderId="3" xfId="0" applyFont="1" applyBorder="1"/>
    <xf numFmtId="0" fontId="9" fillId="0" borderId="5" xfId="0" applyFont="1" applyBorder="1"/>
    <xf numFmtId="0" fontId="9" fillId="0" borderId="9" xfId="0" applyFont="1" applyBorder="1"/>
    <xf numFmtId="164" fontId="0" fillId="2" borderId="17" xfId="0" applyNumberFormat="1" applyFill="1" applyBorder="1"/>
    <xf numFmtId="0" fontId="3" fillId="0" borderId="7" xfId="0" applyFont="1" applyBorder="1"/>
    <xf numFmtId="164" fontId="0" fillId="0" borderId="5" xfId="0" applyNumberFormat="1" applyFill="1" applyBorder="1"/>
    <xf numFmtId="1" fontId="0" fillId="0" borderId="0" xfId="0" applyNumberFormat="1" applyFill="1" applyBorder="1"/>
    <xf numFmtId="0" fontId="0" fillId="0" borderId="1" xfId="0" applyFill="1" applyBorder="1"/>
    <xf numFmtId="0" fontId="10" fillId="0" borderId="0" xfId="0" applyFont="1" applyFill="1" applyBorder="1"/>
    <xf numFmtId="164" fontId="10" fillId="0" borderId="0" xfId="0" applyNumberFormat="1" applyFont="1" applyBorder="1"/>
    <xf numFmtId="0" fontId="10" fillId="0" borderId="0" xfId="0" applyFont="1" applyBorder="1"/>
    <xf numFmtId="1" fontId="0" fillId="0" borderId="8" xfId="0" applyNumberFormat="1" applyFill="1" applyBorder="1"/>
    <xf numFmtId="164" fontId="0" fillId="0" borderId="3" xfId="0" applyNumberFormat="1" applyFill="1" applyBorder="1"/>
    <xf numFmtId="0" fontId="8" fillId="0" borderId="0" xfId="0" applyFont="1" applyAlignment="1">
      <alignment horizontal="center" vertical="center"/>
    </xf>
    <xf numFmtId="0" fontId="9" fillId="0" borderId="1" xfId="0" applyNumberFormat="1" applyFont="1" applyBorder="1"/>
    <xf numFmtId="0" fontId="0" fillId="0" borderId="3" xfId="0" applyNumberFormat="1" applyBorder="1"/>
    <xf numFmtId="165" fontId="0" fillId="0" borderId="5" xfId="380" applyNumberFormat="1" applyFont="1" applyBorder="1"/>
    <xf numFmtId="0" fontId="9" fillId="0" borderId="0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166" fontId="0" fillId="0" borderId="0" xfId="0" applyNumberFormat="1" applyBorder="1"/>
    <xf numFmtId="165" fontId="0" fillId="0" borderId="0" xfId="380" applyNumberFormat="1" applyFont="1" applyBorder="1"/>
    <xf numFmtId="0" fontId="3" fillId="0" borderId="1" xfId="0" applyFont="1" applyFill="1" applyBorder="1"/>
    <xf numFmtId="0" fontId="10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5" fontId="0" fillId="0" borderId="2" xfId="380" applyNumberFormat="1" applyFont="1" applyBorder="1"/>
    <xf numFmtId="165" fontId="0" fillId="0" borderId="5" xfId="0" applyNumberFormat="1" applyBorder="1"/>
    <xf numFmtId="0" fontId="5" fillId="0" borderId="4" xfId="0" applyFont="1" applyBorder="1"/>
    <xf numFmtId="0" fontId="5" fillId="0" borderId="0" xfId="0" applyFont="1" applyBorder="1"/>
    <xf numFmtId="165" fontId="5" fillId="0" borderId="5" xfId="0" applyNumberFormat="1" applyFont="1" applyBorder="1"/>
    <xf numFmtId="165" fontId="0" fillId="0" borderId="0" xfId="0" applyNumberFormat="1" applyBorder="1"/>
    <xf numFmtId="0" fontId="5" fillId="0" borderId="6" xfId="0" applyFont="1" applyBorder="1"/>
    <xf numFmtId="0" fontId="5" fillId="0" borderId="7" xfId="0" applyFont="1" applyBorder="1"/>
    <xf numFmtId="165" fontId="5" fillId="0" borderId="0" xfId="380" applyNumberFormat="1" applyFont="1" applyBorder="1"/>
    <xf numFmtId="165" fontId="0" fillId="0" borderId="7" xfId="380" applyNumberFormat="1" applyFont="1" applyBorder="1"/>
    <xf numFmtId="0" fontId="9" fillId="0" borderId="1" xfId="0" applyFont="1" applyBorder="1"/>
    <xf numFmtId="0" fontId="0" fillId="0" borderId="2" xfId="0" applyFill="1" applyBorder="1"/>
    <xf numFmtId="0" fontId="0" fillId="0" borderId="20" xfId="0" applyBorder="1"/>
    <xf numFmtId="0" fontId="0" fillId="0" borderId="4" xfId="0" applyFont="1" applyFill="1" applyBorder="1"/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3" fontId="0" fillId="0" borderId="0" xfId="380" applyFont="1" applyBorder="1"/>
    <xf numFmtId="169" fontId="0" fillId="0" borderId="0" xfId="380" applyNumberFormat="1" applyFont="1" applyBorder="1"/>
    <xf numFmtId="1" fontId="0" fillId="0" borderId="2" xfId="0" applyNumberFormat="1" applyBorder="1"/>
    <xf numFmtId="165" fontId="0" fillId="0" borderId="7" xfId="0" applyNumberFormat="1" applyBorder="1"/>
    <xf numFmtId="0" fontId="3" fillId="0" borderId="19" xfId="0" applyFont="1" applyBorder="1"/>
    <xf numFmtId="165" fontId="5" fillId="0" borderId="5" xfId="380" applyNumberFormat="1" applyFont="1" applyBorder="1"/>
    <xf numFmtId="0" fontId="11" fillId="0" borderId="6" xfId="0" applyFont="1" applyFill="1" applyBorder="1"/>
    <xf numFmtId="0" fontId="3" fillId="0" borderId="0" xfId="0" applyFont="1" applyBorder="1"/>
    <xf numFmtId="0" fontId="0" fillId="0" borderId="2" xfId="0" applyFont="1" applyFill="1" applyBorder="1"/>
    <xf numFmtId="165" fontId="12" fillId="0" borderId="18" xfId="0" applyNumberFormat="1" applyFont="1" applyBorder="1"/>
    <xf numFmtId="167" fontId="0" fillId="0" borderId="0" xfId="0" applyNumberFormat="1" applyBorder="1"/>
    <xf numFmtId="0" fontId="3" fillId="0" borderId="6" xfId="0" applyFont="1" applyFill="1" applyBorder="1"/>
    <xf numFmtId="165" fontId="3" fillId="0" borderId="7" xfId="0" applyNumberFormat="1" applyFont="1" applyBorder="1"/>
    <xf numFmtId="1" fontId="3" fillId="0" borderId="7" xfId="0" applyNumberFormat="1" applyFont="1" applyBorder="1"/>
    <xf numFmtId="0" fontId="3" fillId="0" borderId="20" xfId="0" applyFont="1" applyBorder="1"/>
    <xf numFmtId="0" fontId="3" fillId="0" borderId="18" xfId="0" applyFont="1" applyBorder="1"/>
    <xf numFmtId="1" fontId="0" fillId="0" borderId="7" xfId="0" applyNumberFormat="1" applyBorder="1"/>
    <xf numFmtId="9" fontId="0" fillId="0" borderId="0" xfId="1" applyNumberFormat="1" applyFont="1"/>
    <xf numFmtId="9" fontId="0" fillId="0" borderId="5" xfId="1" applyFont="1" applyBorder="1"/>
    <xf numFmtId="166" fontId="3" fillId="0" borderId="7" xfId="0" applyNumberFormat="1" applyFont="1" applyBorder="1"/>
    <xf numFmtId="9" fontId="0" fillId="0" borderId="8" xfId="1" applyFont="1" applyBorder="1"/>
    <xf numFmtId="9" fontId="3" fillId="0" borderId="8" xfId="1" applyFont="1" applyBorder="1"/>
    <xf numFmtId="1" fontId="3" fillId="0" borderId="8" xfId="0" applyNumberFormat="1" applyFont="1" applyBorder="1"/>
    <xf numFmtId="165" fontId="3" fillId="0" borderId="7" xfId="380" applyNumberFormat="1" applyFont="1" applyBorder="1"/>
    <xf numFmtId="43" fontId="0" fillId="0" borderId="0" xfId="0" applyNumberFormat="1"/>
    <xf numFmtId="171" fontId="0" fillId="0" borderId="0" xfId="0" applyNumberFormat="1"/>
    <xf numFmtId="9" fontId="0" fillId="0" borderId="5" xfId="1" applyNumberFormat="1" applyFont="1" applyBorder="1"/>
    <xf numFmtId="0" fontId="2" fillId="0" borderId="0" xfId="0" applyFont="1"/>
    <xf numFmtId="0" fontId="10" fillId="0" borderId="4" xfId="0" applyFont="1" applyBorder="1"/>
  </cellXfs>
  <cellStyles count="835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Fulgt hyperkobling" xfId="111" builtinId="9" hidden="1"/>
    <cellStyle name="Fulgt hyperkobling" xfId="113" builtinId="9" hidden="1"/>
    <cellStyle name="Fulgt hyperkobling" xfId="115" builtinId="9" hidden="1"/>
    <cellStyle name="Fulgt hyperkobling" xfId="117" builtinId="9" hidden="1"/>
    <cellStyle name="Fulgt hyperkobling" xfId="119" builtinId="9" hidden="1"/>
    <cellStyle name="Fulgt hyperkobling" xfId="121" builtinId="9" hidden="1"/>
    <cellStyle name="Fulgt hyperkobling" xfId="123" builtinId="9" hidden="1"/>
    <cellStyle name="Fulgt hyperkobling" xfId="125" builtinId="9" hidden="1"/>
    <cellStyle name="Fulgt hyperkobling" xfId="127" builtinId="9" hidden="1"/>
    <cellStyle name="Fulgt hyperkobling" xfId="129" builtinId="9" hidden="1"/>
    <cellStyle name="Fulgt hyperkobling" xfId="131" builtinId="9" hidden="1"/>
    <cellStyle name="Fulgt hyperkobling" xfId="133" builtinId="9" hidden="1"/>
    <cellStyle name="Fulgt hyperkobling" xfId="135" builtinId="9" hidden="1"/>
    <cellStyle name="Fulgt hyperkobling" xfId="137" builtinId="9" hidden="1"/>
    <cellStyle name="Fulgt hyperkobling" xfId="139" builtinId="9" hidden="1"/>
    <cellStyle name="Fulgt hyperkobling" xfId="141" builtinId="9" hidden="1"/>
    <cellStyle name="Fulgt hyperkobling" xfId="143" builtinId="9" hidden="1"/>
    <cellStyle name="Fulgt hyperkobling" xfId="145" builtinId="9" hidden="1"/>
    <cellStyle name="Fulgt hyperkobling" xfId="147" builtinId="9" hidden="1"/>
    <cellStyle name="Fulgt hyperkobling" xfId="149" builtinId="9" hidden="1"/>
    <cellStyle name="Fulgt hyperkobling" xfId="151" builtinId="9" hidden="1"/>
    <cellStyle name="Fulgt hyperkobling" xfId="153" builtinId="9" hidden="1"/>
    <cellStyle name="Fulgt hyperkobling" xfId="155" builtinId="9" hidden="1"/>
    <cellStyle name="Fulgt hyperkobling" xfId="157" builtinId="9" hidden="1"/>
    <cellStyle name="Fulgt hyperkobling" xfId="159" builtinId="9" hidden="1"/>
    <cellStyle name="Fulgt hyperkobling" xfId="161" builtinId="9" hidden="1"/>
    <cellStyle name="Fulgt hyperkobling" xfId="163" builtinId="9" hidden="1"/>
    <cellStyle name="Fulgt hyperkobling" xfId="165" builtinId="9" hidden="1"/>
    <cellStyle name="Fulgt hyperkobling" xfId="167" builtinId="9" hidden="1"/>
    <cellStyle name="Fulgt hyperkobling" xfId="169" builtinId="9" hidden="1"/>
    <cellStyle name="Fulgt hyperkobling" xfId="171" builtinId="9" hidden="1"/>
    <cellStyle name="Fulgt hyperkobling" xfId="173" builtinId="9" hidden="1"/>
    <cellStyle name="Fulgt hyperkobling" xfId="175" builtinId="9" hidden="1"/>
    <cellStyle name="Fulgt hyperkobling" xfId="177" builtinId="9" hidden="1"/>
    <cellStyle name="Fulgt hyperkobling" xfId="179" builtinId="9" hidden="1"/>
    <cellStyle name="Fulgt hyperkobling" xfId="181" builtinId="9" hidden="1"/>
    <cellStyle name="Fulgt hyperkobling" xfId="183" builtinId="9" hidden="1"/>
    <cellStyle name="Fulgt hyperkobling" xfId="185" builtinId="9" hidden="1"/>
    <cellStyle name="Fulgt hyperkobling" xfId="187" builtinId="9" hidden="1"/>
    <cellStyle name="Fulgt hyperkobling" xfId="189" builtinId="9" hidden="1"/>
    <cellStyle name="Fulgt hyperkobling" xfId="191" builtinId="9" hidden="1"/>
    <cellStyle name="Fulgt hyperkobling" xfId="193" builtinId="9" hidden="1"/>
    <cellStyle name="Fulgt hyperkobling" xfId="195" builtinId="9" hidden="1"/>
    <cellStyle name="Fulgt hyperkobling" xfId="197" builtinId="9" hidden="1"/>
    <cellStyle name="Fulgt hyperkobling" xfId="199" builtinId="9" hidden="1"/>
    <cellStyle name="Fulgt hyperkobling" xfId="201" builtinId="9" hidden="1"/>
    <cellStyle name="Fulgt hyperkobling" xfId="203" builtinId="9" hidden="1"/>
    <cellStyle name="Fulgt hyperkobling" xfId="205" builtinId="9" hidden="1"/>
    <cellStyle name="Fulgt hyperkobling" xfId="207" builtinId="9" hidden="1"/>
    <cellStyle name="Fulgt hyperkobling" xfId="209" builtinId="9" hidden="1"/>
    <cellStyle name="Fulgt hyperkobling" xfId="211" builtinId="9" hidden="1"/>
    <cellStyle name="Fulgt hyperkobling" xfId="213" builtinId="9" hidden="1"/>
    <cellStyle name="Fulgt hyperkobling" xfId="215" builtinId="9" hidden="1"/>
    <cellStyle name="Fulgt hyperkobling" xfId="217" builtinId="9" hidden="1"/>
    <cellStyle name="Fulgt hyperkobling" xfId="219" builtinId="9" hidden="1"/>
    <cellStyle name="Fulgt hyperkobling" xfId="221" builtinId="9" hidden="1"/>
    <cellStyle name="Fulgt hyperkobling" xfId="223" builtinId="9" hidden="1"/>
    <cellStyle name="Fulgt hyperkobling" xfId="225" builtinId="9" hidden="1"/>
    <cellStyle name="Fulgt hyperkobling" xfId="227" builtinId="9" hidden="1"/>
    <cellStyle name="Fulgt hyperkobling" xfId="229" builtinId="9" hidden="1"/>
    <cellStyle name="Fulgt hyperkobling" xfId="231" builtinId="9" hidden="1"/>
    <cellStyle name="Fulgt hyperkobling" xfId="233" builtinId="9" hidden="1"/>
    <cellStyle name="Fulgt hyperkobling" xfId="235" builtinId="9" hidden="1"/>
    <cellStyle name="Fulgt hyperkobling" xfId="237" builtinId="9" hidden="1"/>
    <cellStyle name="Fulgt hyperkobling" xfId="239" builtinId="9" hidden="1"/>
    <cellStyle name="Fulgt hyperkobling" xfId="241" builtinId="9" hidden="1"/>
    <cellStyle name="Fulgt hyperkobling" xfId="243" builtinId="9" hidden="1"/>
    <cellStyle name="Fulgt hyperkobling" xfId="245" builtinId="9" hidden="1"/>
    <cellStyle name="Fulgt hyperkobling" xfId="247" builtinId="9" hidden="1"/>
    <cellStyle name="Fulgt hyperkobling" xfId="249" builtinId="9" hidden="1"/>
    <cellStyle name="Fulgt hyperkobling" xfId="251" builtinId="9" hidden="1"/>
    <cellStyle name="Fulgt hyperkobling" xfId="253" builtinId="9" hidden="1"/>
    <cellStyle name="Fulgt hyperkobling" xfId="255" builtinId="9" hidden="1"/>
    <cellStyle name="Fulgt hyperkobling" xfId="257" builtinId="9" hidden="1"/>
    <cellStyle name="Fulgt hyperkobling" xfId="259" builtinId="9" hidden="1"/>
    <cellStyle name="Fulgt hyperkobling" xfId="261" builtinId="9" hidden="1"/>
    <cellStyle name="Fulgt hyperkobling" xfId="263" builtinId="9" hidden="1"/>
    <cellStyle name="Fulgt hyperkobling" xfId="265" builtinId="9" hidden="1"/>
    <cellStyle name="Fulgt hyperkobling" xfId="267" builtinId="9" hidden="1"/>
    <cellStyle name="Fulgt hyperkobling" xfId="269" builtinId="9" hidden="1"/>
    <cellStyle name="Fulgt hyperkobling" xfId="271" builtinId="9" hidden="1"/>
    <cellStyle name="Fulgt hyperkobling" xfId="273" builtinId="9" hidden="1"/>
    <cellStyle name="Fulgt hyperkobling" xfId="275" builtinId="9" hidden="1"/>
    <cellStyle name="Fulgt hyperkobling" xfId="277" builtinId="9" hidden="1"/>
    <cellStyle name="Fulgt hyperkobling" xfId="279" builtinId="9" hidden="1"/>
    <cellStyle name="Fulgt hyperkobling" xfId="281" builtinId="9" hidden="1"/>
    <cellStyle name="Fulgt hyperkobling" xfId="283" builtinId="9" hidden="1"/>
    <cellStyle name="Fulgt hyperkobling" xfId="285" builtinId="9" hidden="1"/>
    <cellStyle name="Fulgt hyperkobling" xfId="287" builtinId="9" hidden="1"/>
    <cellStyle name="Fulgt hyperkobling" xfId="289" builtinId="9" hidden="1"/>
    <cellStyle name="Fulgt hyperkobling" xfId="291" builtinId="9" hidden="1"/>
    <cellStyle name="Fulgt hyperkobling" xfId="293" builtinId="9" hidden="1"/>
    <cellStyle name="Fulgt hyperkobling" xfId="295" builtinId="9" hidden="1"/>
    <cellStyle name="Fulgt hyperkobling" xfId="297" builtinId="9" hidden="1"/>
    <cellStyle name="Fulgt hyperkobling" xfId="299" builtinId="9" hidden="1"/>
    <cellStyle name="Fulgt hyperkobling" xfId="301" builtinId="9" hidden="1"/>
    <cellStyle name="Fulgt hyperkobling" xfId="303" builtinId="9" hidden="1"/>
    <cellStyle name="Fulgt hyperkobling" xfId="305" builtinId="9" hidden="1"/>
    <cellStyle name="Fulgt hyperkobling" xfId="307" builtinId="9" hidden="1"/>
    <cellStyle name="Fulgt hyperkobling" xfId="309" builtinId="9" hidden="1"/>
    <cellStyle name="Fulgt hyperkobling" xfId="311" builtinId="9" hidden="1"/>
    <cellStyle name="Fulgt hyperkobling" xfId="313" builtinId="9" hidden="1"/>
    <cellStyle name="Fulgt hyperkobling" xfId="315" builtinId="9" hidden="1"/>
    <cellStyle name="Fulgt hyperkobling" xfId="317" builtinId="9" hidden="1"/>
    <cellStyle name="Fulgt hyperkobling" xfId="319" builtinId="9" hidden="1"/>
    <cellStyle name="Fulgt hyperkobling" xfId="321" builtinId="9" hidden="1"/>
    <cellStyle name="Fulgt hyperkobling" xfId="323" builtinId="9" hidden="1"/>
    <cellStyle name="Fulgt hyperkobling" xfId="325" builtinId="9" hidden="1"/>
    <cellStyle name="Fulgt hyperkobling" xfId="327" builtinId="9" hidden="1"/>
    <cellStyle name="Fulgt hyperkobling" xfId="329" builtinId="9" hidden="1"/>
    <cellStyle name="Fulgt hyperkobling" xfId="331" builtinId="9" hidden="1"/>
    <cellStyle name="Fulgt hyperkobling" xfId="333" builtinId="9" hidden="1"/>
    <cellStyle name="Fulgt hyperkobling" xfId="335" builtinId="9" hidden="1"/>
    <cellStyle name="Fulgt hyperkobling" xfId="337" builtinId="9" hidden="1"/>
    <cellStyle name="Fulgt hyperkobling" xfId="339" builtinId="9" hidden="1"/>
    <cellStyle name="Fulgt hyperkobling" xfId="341" builtinId="9" hidden="1"/>
    <cellStyle name="Fulgt hyperkobling" xfId="343" builtinId="9" hidden="1"/>
    <cellStyle name="Fulgt hyperkobling" xfId="345" builtinId="9" hidden="1"/>
    <cellStyle name="Fulgt hyperkobling" xfId="347" builtinId="9" hidden="1"/>
    <cellStyle name="Fulgt hyperkobling" xfId="349" builtinId="9" hidden="1"/>
    <cellStyle name="Fulgt hyperkobling" xfId="351" builtinId="9" hidden="1"/>
    <cellStyle name="Fulgt hyperkobling" xfId="353" builtinId="9" hidden="1"/>
    <cellStyle name="Fulgt hyperkobling" xfId="355" builtinId="9" hidden="1"/>
    <cellStyle name="Fulgt hyperkobling" xfId="357" builtinId="9" hidden="1"/>
    <cellStyle name="Fulgt hyperkobling" xfId="359" builtinId="9" hidden="1"/>
    <cellStyle name="Fulgt hyperkobling" xfId="361" builtinId="9" hidden="1"/>
    <cellStyle name="Fulgt hyperkobling" xfId="363" builtinId="9" hidden="1"/>
    <cellStyle name="Fulgt hyperkobling" xfId="365" builtinId="9" hidden="1"/>
    <cellStyle name="Fulgt hyperkobling" xfId="367" builtinId="9" hidden="1"/>
    <cellStyle name="Fulgt hyperkobling" xfId="369" builtinId="9" hidden="1"/>
    <cellStyle name="Fulgt hyperkobling" xfId="371" builtinId="9" hidden="1"/>
    <cellStyle name="Fulgt hyperkobling" xfId="373" builtinId="9" hidden="1"/>
    <cellStyle name="Fulgt hyperkobling" xfId="375" builtinId="9" hidden="1"/>
    <cellStyle name="Fulgt hyperkobling" xfId="377" builtinId="9" hidden="1"/>
    <cellStyle name="Fulgt hyperkobling" xfId="379" builtinId="9" hidden="1"/>
    <cellStyle name="Fulgt hyperkobling" xfId="382" builtinId="9" hidden="1"/>
    <cellStyle name="Fulgt hyperkobling" xfId="384" builtinId="9" hidden="1"/>
    <cellStyle name="Fulgt hyperkobling" xfId="386" builtinId="9" hidden="1"/>
    <cellStyle name="Fulgt hyperkobling" xfId="388" builtinId="9" hidden="1"/>
    <cellStyle name="Fulgt hyperkobling" xfId="390" builtinId="9" hidden="1"/>
    <cellStyle name="Fulgt hyperkobling" xfId="392" builtinId="9" hidden="1"/>
    <cellStyle name="Fulgt hyperkobling" xfId="394" builtinId="9" hidden="1"/>
    <cellStyle name="Fulgt hyperkobling" xfId="396" builtinId="9" hidden="1"/>
    <cellStyle name="Fulgt hyperkobling" xfId="398" builtinId="9" hidden="1"/>
    <cellStyle name="Fulgt hyperkobling" xfId="400" builtinId="9" hidden="1"/>
    <cellStyle name="Fulgt hyperkobling" xfId="402" builtinId="9" hidden="1"/>
    <cellStyle name="Fulgt hyperkobling" xfId="404" builtinId="9" hidden="1"/>
    <cellStyle name="Fulgt hyperkobling" xfId="406" builtinId="9" hidden="1"/>
    <cellStyle name="Fulgt hyperkobling" xfId="408" builtinId="9" hidden="1"/>
    <cellStyle name="Fulgt hyperkobling" xfId="410" builtinId="9" hidden="1"/>
    <cellStyle name="Fulgt hyperkobling" xfId="412" builtinId="9" hidden="1"/>
    <cellStyle name="Fulgt hyperkobling" xfId="414" builtinId="9" hidden="1"/>
    <cellStyle name="Fulgt hyperkobling" xfId="416" builtinId="9" hidden="1"/>
    <cellStyle name="Fulgt hyperkobling" xfId="418" builtinId="9" hidden="1"/>
    <cellStyle name="Fulgt hyperkobling" xfId="420" builtinId="9" hidden="1"/>
    <cellStyle name="Fulgt hyperkobling" xfId="422" builtinId="9" hidden="1"/>
    <cellStyle name="Fulgt hyperkobling" xfId="424" builtinId="9" hidden="1"/>
    <cellStyle name="Fulgt hyperkobling" xfId="426" builtinId="9" hidden="1"/>
    <cellStyle name="Fulgt hyperkobling" xfId="428" builtinId="9" hidden="1"/>
    <cellStyle name="Fulgt hyperkobling" xfId="430" builtinId="9" hidden="1"/>
    <cellStyle name="Fulgt hyperkobling" xfId="432" builtinId="9" hidden="1"/>
    <cellStyle name="Fulgt hyperkobling" xfId="434" builtinId="9" hidden="1"/>
    <cellStyle name="Fulgt hyperkobling" xfId="436" builtinId="9" hidden="1"/>
    <cellStyle name="Fulgt hyperkobling" xfId="438" builtinId="9" hidden="1"/>
    <cellStyle name="Fulgt hyperkobling" xfId="440" builtinId="9" hidden="1"/>
    <cellStyle name="Fulgt hyperkobling" xfId="442" builtinId="9" hidden="1"/>
    <cellStyle name="Fulgt hyperkobling" xfId="444" builtinId="9" hidden="1"/>
    <cellStyle name="Fulgt hyperkobling" xfId="446" builtinId="9" hidden="1"/>
    <cellStyle name="Fulgt hyperkobling" xfId="448" builtinId="9" hidden="1"/>
    <cellStyle name="Fulgt hyperkobling" xfId="450" builtinId="9" hidden="1"/>
    <cellStyle name="Fulgt hyperkobling" xfId="452" builtinId="9" hidden="1"/>
    <cellStyle name="Fulgt hyperkobling" xfId="454" builtinId="9" hidden="1"/>
    <cellStyle name="Fulgt hyperkobling" xfId="456" builtinId="9" hidden="1"/>
    <cellStyle name="Fulgt hyperkobling" xfId="458" builtinId="9" hidden="1"/>
    <cellStyle name="Fulgt hyperkobling" xfId="460" builtinId="9" hidden="1"/>
    <cellStyle name="Fulgt hyperkobling" xfId="462" builtinId="9" hidden="1"/>
    <cellStyle name="Fulgt hyperkobling" xfId="464" builtinId="9" hidden="1"/>
    <cellStyle name="Fulgt hyperkobling" xfId="466" builtinId="9" hidden="1"/>
    <cellStyle name="Fulgt hyperkobling" xfId="468" builtinId="9" hidden="1"/>
    <cellStyle name="Fulgt hyperkobling" xfId="470" builtinId="9" hidden="1"/>
    <cellStyle name="Fulgt hyperkobling" xfId="472" builtinId="9" hidden="1"/>
    <cellStyle name="Fulgt hyperkobling" xfId="474" builtinId="9" hidden="1"/>
    <cellStyle name="Fulgt hyperkobling" xfId="476" builtinId="9" hidden="1"/>
    <cellStyle name="Fulgt hyperkobling" xfId="478" builtinId="9" hidden="1"/>
    <cellStyle name="Fulgt hyperkobling" xfId="480" builtinId="9" hidden="1"/>
    <cellStyle name="Fulgt hyperkobling" xfId="482" builtinId="9" hidden="1"/>
    <cellStyle name="Fulgt hyperkobling" xfId="484" builtinId="9" hidden="1"/>
    <cellStyle name="Fulgt hyperkobling" xfId="486" builtinId="9" hidden="1"/>
    <cellStyle name="Fulgt hyperkobling" xfId="488" builtinId="9" hidden="1"/>
    <cellStyle name="Fulgt hyperkobling" xfId="490" builtinId="9" hidden="1"/>
    <cellStyle name="Fulgt hyperkobling" xfId="492" builtinId="9" hidden="1"/>
    <cellStyle name="Fulgt hyperkobling" xfId="494" builtinId="9" hidden="1"/>
    <cellStyle name="Fulgt hyperkobling" xfId="496" builtinId="9" hidden="1"/>
    <cellStyle name="Fulgt hyperkobling" xfId="498" builtinId="9" hidden="1"/>
    <cellStyle name="Fulgt hyperkobling" xfId="500" builtinId="9" hidden="1"/>
    <cellStyle name="Fulgt hyperkobling" xfId="502" builtinId="9" hidden="1"/>
    <cellStyle name="Fulgt hyperkobling" xfId="504" builtinId="9" hidden="1"/>
    <cellStyle name="Fulgt hyperkobling" xfId="506" builtinId="9" hidden="1"/>
    <cellStyle name="Fulgt hyperkobling" xfId="508" builtinId="9" hidden="1"/>
    <cellStyle name="Fulgt hyperkobling" xfId="510" builtinId="9" hidden="1"/>
    <cellStyle name="Fulgt hyperkobling" xfId="512" builtinId="9" hidden="1"/>
    <cellStyle name="Fulgt hyperkobling" xfId="514" builtinId="9" hidden="1"/>
    <cellStyle name="Fulgt hyperkobling" xfId="516" builtinId="9" hidden="1"/>
    <cellStyle name="Fulgt hyperkobling" xfId="518" builtinId="9" hidden="1"/>
    <cellStyle name="Fulgt hyperkobling" xfId="520" builtinId="9" hidden="1"/>
    <cellStyle name="Fulgt hyperkobling" xfId="522" builtinId="9" hidden="1"/>
    <cellStyle name="Fulgt hyperkobling" xfId="524" builtinId="9" hidden="1"/>
    <cellStyle name="Fulgt hyperkobling" xfId="526" builtinId="9" hidden="1"/>
    <cellStyle name="Fulgt hyperkobling" xfId="528" builtinId="9" hidden="1"/>
    <cellStyle name="Fulgt hyperkobling" xfId="530" builtinId="9" hidden="1"/>
    <cellStyle name="Fulgt hyperkobling" xfId="532" builtinId="9" hidden="1"/>
    <cellStyle name="Fulgt hyperkobling" xfId="534" builtinId="9" hidden="1"/>
    <cellStyle name="Fulgt hyperkobling" xfId="536" builtinId="9" hidden="1"/>
    <cellStyle name="Fulgt hyperkobling" xfId="538" builtinId="9" hidden="1"/>
    <cellStyle name="Fulgt hyperkobling" xfId="540" builtinId="9" hidden="1"/>
    <cellStyle name="Fulgt hyperkobling" xfId="542" builtinId="9" hidden="1"/>
    <cellStyle name="Fulgt hyperkobling" xfId="544" builtinId="9" hidden="1"/>
    <cellStyle name="Fulgt hyperkobling" xfId="546" builtinId="9" hidden="1"/>
    <cellStyle name="Fulgt hyperkobling" xfId="548" builtinId="9" hidden="1"/>
    <cellStyle name="Fulgt hyperkobling" xfId="550" builtinId="9" hidden="1"/>
    <cellStyle name="Fulgt hyperkobling" xfId="552" builtinId="9" hidden="1"/>
    <cellStyle name="Fulgt hyperkobling" xfId="554" builtinId="9" hidden="1"/>
    <cellStyle name="Fulgt hyperkobling" xfId="556" builtinId="9" hidden="1"/>
    <cellStyle name="Fulgt hyperkobling" xfId="558" builtinId="9" hidden="1"/>
    <cellStyle name="Fulgt hyperkobling" xfId="560" builtinId="9" hidden="1"/>
    <cellStyle name="Fulgt hyperkobling" xfId="562" builtinId="9" hidden="1"/>
    <cellStyle name="Fulgt hyperkobling" xfId="564" builtinId="9" hidden="1"/>
    <cellStyle name="Fulgt hyperkobling" xfId="566" builtinId="9" hidden="1"/>
    <cellStyle name="Fulgt hyperkobling" xfId="568" builtinId="9" hidden="1"/>
    <cellStyle name="Fulgt hyperkobling" xfId="570" builtinId="9" hidden="1"/>
    <cellStyle name="Fulgt hyperkobling" xfId="572" builtinId="9" hidden="1"/>
    <cellStyle name="Fulgt hyperkobling" xfId="574" builtinId="9" hidden="1"/>
    <cellStyle name="Fulgt hyperkobling" xfId="576" builtinId="9" hidden="1"/>
    <cellStyle name="Fulgt hyperkobling" xfId="578" builtinId="9" hidden="1"/>
    <cellStyle name="Fulgt hyperkobling" xfId="580" builtinId="9" hidden="1"/>
    <cellStyle name="Fulgt hyperkobling" xfId="582" builtinId="9" hidden="1"/>
    <cellStyle name="Fulgt hyperkobling" xfId="584" builtinId="9" hidden="1"/>
    <cellStyle name="Fulgt hyperkobling" xfId="586" builtinId="9" hidden="1"/>
    <cellStyle name="Fulgt hyperkobling" xfId="588" builtinId="9" hidden="1"/>
    <cellStyle name="Fulgt hyperkobling" xfId="590" builtinId="9" hidden="1"/>
    <cellStyle name="Fulgt hyperkobling" xfId="592" builtinId="9" hidden="1"/>
    <cellStyle name="Fulgt hyperkobling" xfId="594" builtinId="9" hidden="1"/>
    <cellStyle name="Fulgt hyperkobling" xfId="596" builtinId="9" hidden="1"/>
    <cellStyle name="Fulgt hyperkobling" xfId="598" builtinId="9" hidden="1"/>
    <cellStyle name="Fulgt hyperkobling" xfId="600" builtinId="9" hidden="1"/>
    <cellStyle name="Fulgt hyperkobling" xfId="602" builtinId="9" hidden="1"/>
    <cellStyle name="Fulgt hyperkobling" xfId="604" builtinId="9" hidden="1"/>
    <cellStyle name="Fulgt hyperkobling" xfId="606" builtinId="9" hidden="1"/>
    <cellStyle name="Fulgt hyperkobling" xfId="608" builtinId="9" hidden="1"/>
    <cellStyle name="Fulgt hyperkobling" xfId="610" builtinId="9" hidden="1"/>
    <cellStyle name="Fulgt hyperkobling" xfId="612" builtinId="9" hidden="1"/>
    <cellStyle name="Fulgt hyperkobling" xfId="614" builtinId="9" hidden="1"/>
    <cellStyle name="Fulgt hyperkobling" xfId="616" builtinId="9" hidden="1"/>
    <cellStyle name="Fulgt hyperkobling" xfId="618" builtinId="9" hidden="1"/>
    <cellStyle name="Fulgt hyperkobling" xfId="620" builtinId="9" hidden="1"/>
    <cellStyle name="Fulgt hyperkobling" xfId="622" builtinId="9" hidden="1"/>
    <cellStyle name="Fulgt hyperkobling" xfId="624" builtinId="9" hidden="1"/>
    <cellStyle name="Fulgt hyperkobling" xfId="626" builtinId="9" hidden="1"/>
    <cellStyle name="Fulgt hyperkobling" xfId="628" builtinId="9" hidden="1"/>
    <cellStyle name="Fulgt hyperkobling" xfId="630" builtinId="9" hidden="1"/>
    <cellStyle name="Fulgt hyperkobling" xfId="632" builtinId="9" hidden="1"/>
    <cellStyle name="Fulgt hyperkobling" xfId="634" builtinId="9" hidden="1"/>
    <cellStyle name="Fulgt hyperkobling" xfId="636" builtinId="9" hidden="1"/>
    <cellStyle name="Fulgt hyperkobling" xfId="638" builtinId="9" hidden="1"/>
    <cellStyle name="Fulgt hyperkobling" xfId="640" builtinId="9" hidden="1"/>
    <cellStyle name="Fulgt hyperkobling" xfId="642" builtinId="9" hidden="1"/>
    <cellStyle name="Fulgt hyperkobling" xfId="644" builtinId="9" hidden="1"/>
    <cellStyle name="Fulgt hyperkobling" xfId="646" builtinId="9" hidden="1"/>
    <cellStyle name="Fulgt hyperkobling" xfId="648" builtinId="9" hidden="1"/>
    <cellStyle name="Fulgt hyperkobling" xfId="650" builtinId="9" hidden="1"/>
    <cellStyle name="Fulgt hyperkobling" xfId="652" builtinId="9" hidden="1"/>
    <cellStyle name="Fulgt hyperkobling" xfId="654" builtinId="9" hidden="1"/>
    <cellStyle name="Fulgt hyperkobling" xfId="656" builtinId="9" hidden="1"/>
    <cellStyle name="Fulgt hyperkobling" xfId="658" builtinId="9" hidden="1"/>
    <cellStyle name="Fulgt hyperkobling" xfId="660" builtinId="9" hidden="1"/>
    <cellStyle name="Fulgt hyperkobling" xfId="662" builtinId="9" hidden="1"/>
    <cellStyle name="Fulgt hyperkobling" xfId="664" builtinId="9" hidden="1"/>
    <cellStyle name="Fulgt hyperkobling" xfId="666" builtinId="9" hidden="1"/>
    <cellStyle name="Fulgt hyperkobling" xfId="668" builtinId="9" hidden="1"/>
    <cellStyle name="Fulgt hyperkobling" xfId="670" builtinId="9" hidden="1"/>
    <cellStyle name="Fulgt hyperkobling" xfId="672" builtinId="9" hidden="1"/>
    <cellStyle name="Fulgt hyperkobling" xfId="674" builtinId="9" hidden="1"/>
    <cellStyle name="Fulgt hyperkobling" xfId="676" builtinId="9" hidden="1"/>
    <cellStyle name="Fulgt hyperkobling" xfId="678" builtinId="9" hidden="1"/>
    <cellStyle name="Fulgt hyperkobling" xfId="680" builtinId="9" hidden="1"/>
    <cellStyle name="Fulgt hyperkobling" xfId="682" builtinId="9" hidden="1"/>
    <cellStyle name="Fulgt hyperkobling" xfId="684" builtinId="9" hidden="1"/>
    <cellStyle name="Fulgt hyperkobling" xfId="686" builtinId="9" hidden="1"/>
    <cellStyle name="Fulgt hyperkobling" xfId="688" builtinId="9" hidden="1"/>
    <cellStyle name="Fulgt hyperkobling" xfId="690" builtinId="9" hidden="1"/>
    <cellStyle name="Fulgt hyperkobling" xfId="692" builtinId="9" hidden="1"/>
    <cellStyle name="Fulgt hyperkobling" xfId="694" builtinId="9" hidden="1"/>
    <cellStyle name="Fulgt hyperkobling" xfId="696" builtinId="9" hidden="1"/>
    <cellStyle name="Fulgt hyperkobling" xfId="698" builtinId="9" hidden="1"/>
    <cellStyle name="Fulgt hyperkobling" xfId="700" builtinId="9" hidden="1"/>
    <cellStyle name="Fulgt hyperkobling" xfId="702" builtinId="9" hidden="1"/>
    <cellStyle name="Fulgt hyperkobling" xfId="704" builtinId="9" hidden="1"/>
    <cellStyle name="Fulgt hyperkobling" xfId="706" builtinId="9" hidden="1"/>
    <cellStyle name="Fulgt hyperkobling" xfId="708" builtinId="9" hidden="1"/>
    <cellStyle name="Fulgt hyperkobling" xfId="710" builtinId="9" hidden="1"/>
    <cellStyle name="Fulgt hyperkobling" xfId="712" builtinId="9" hidden="1"/>
    <cellStyle name="Fulgt hyperkobling" xfId="714" builtinId="9" hidden="1"/>
    <cellStyle name="Fulgt hyperkobling" xfId="716" builtinId="9" hidden="1"/>
    <cellStyle name="Fulgt hyperkobling" xfId="718" builtinId="9" hidden="1"/>
    <cellStyle name="Fulgt hyperkobling" xfId="720" builtinId="9" hidden="1"/>
    <cellStyle name="Fulgt hyperkobling" xfId="722" builtinId="9" hidden="1"/>
    <cellStyle name="Fulgt hyperkobling" xfId="724" builtinId="9" hidden="1"/>
    <cellStyle name="Fulgt hyperkobling" xfId="726" builtinId="9" hidden="1"/>
    <cellStyle name="Fulgt hyperkobling" xfId="728" builtinId="9" hidden="1"/>
    <cellStyle name="Fulgt hyperkobling" xfId="730" builtinId="9" hidden="1"/>
    <cellStyle name="Fulgt hyperkobling" xfId="732" builtinId="9" hidden="1"/>
    <cellStyle name="Fulgt hyperkobling" xfId="734" builtinId="9" hidden="1"/>
    <cellStyle name="Fulgt hyperkobling" xfId="736" builtinId="9" hidden="1"/>
    <cellStyle name="Fulgt hyperkobling" xfId="738" builtinId="9" hidden="1"/>
    <cellStyle name="Fulgt hyperkobling" xfId="740" builtinId="9" hidden="1"/>
    <cellStyle name="Fulgt hyperkobling" xfId="742" builtinId="9" hidden="1"/>
    <cellStyle name="Fulgt hyperkobling" xfId="744" builtinId="9" hidden="1"/>
    <cellStyle name="Fulgt hyperkobling" xfId="746" builtinId="9" hidden="1"/>
    <cellStyle name="Fulgt hyperkobling" xfId="748" builtinId="9" hidden="1"/>
    <cellStyle name="Fulgt hyperkobling" xfId="750" builtinId="9" hidden="1"/>
    <cellStyle name="Fulgt hyperkobling" xfId="752" builtinId="9" hidden="1"/>
    <cellStyle name="Fulgt hyperkobling" xfId="754" builtinId="9" hidden="1"/>
    <cellStyle name="Fulgt hyperkobling" xfId="756" builtinId="9" hidden="1"/>
    <cellStyle name="Fulgt hyperkobling" xfId="758" builtinId="9" hidden="1"/>
    <cellStyle name="Fulgt hyperkobling" xfId="760" builtinId="9" hidden="1"/>
    <cellStyle name="Fulgt hyperkobling" xfId="762" builtinId="9" hidden="1"/>
    <cellStyle name="Fulgt hyperkobling" xfId="764" builtinId="9" hidden="1"/>
    <cellStyle name="Fulgt hyperkobling" xfId="766" builtinId="9" hidden="1"/>
    <cellStyle name="Fulgt hyperkobling" xfId="768" builtinId="9" hidden="1"/>
    <cellStyle name="Fulgt hyperkobling" xfId="770" builtinId="9" hidden="1"/>
    <cellStyle name="Fulgt hyperkobling" xfId="772" builtinId="9" hidden="1"/>
    <cellStyle name="Fulgt hyperkobling" xfId="774" builtinId="9" hidden="1"/>
    <cellStyle name="Fulgt hyperkobling" xfId="776" builtinId="9" hidden="1"/>
    <cellStyle name="Fulgt hyperkobling" xfId="778" builtinId="9" hidden="1"/>
    <cellStyle name="Fulgt hyperkobling" xfId="780" builtinId="9" hidden="1"/>
    <cellStyle name="Fulgt hyperkobling" xfId="782" builtinId="9" hidden="1"/>
    <cellStyle name="Fulgt hyperkobling" xfId="784" builtinId="9" hidden="1"/>
    <cellStyle name="Fulgt hyperkobling" xfId="786" builtinId="9" hidden="1"/>
    <cellStyle name="Fulgt hyperkobling" xfId="788" builtinId="9" hidden="1"/>
    <cellStyle name="Fulgt hyperkobling" xfId="790" builtinId="9" hidden="1"/>
    <cellStyle name="Fulgt hyperkobling" xfId="792" builtinId="9" hidden="1"/>
    <cellStyle name="Fulgt hyperkobling" xfId="794" builtinId="9" hidden="1"/>
    <cellStyle name="Fulgt hyperkobling" xfId="796" builtinId="9" hidden="1"/>
    <cellStyle name="Fulgt hyperkobling" xfId="798" builtinId="9" hidden="1"/>
    <cellStyle name="Fulgt hyperkobling" xfId="800" builtinId="9" hidden="1"/>
    <cellStyle name="Fulgt hyperkobling" xfId="802" builtinId="9" hidden="1"/>
    <cellStyle name="Fulgt hyperkobling" xfId="804" builtinId="9" hidden="1"/>
    <cellStyle name="Fulgt hyperkobling" xfId="806" builtinId="9" hidden="1"/>
    <cellStyle name="Fulgt hyperkobling" xfId="808" builtinId="9" hidden="1"/>
    <cellStyle name="Fulgt hyperkobling" xfId="810" builtinId="9" hidden="1"/>
    <cellStyle name="Fulgt hyperkobling" xfId="812" builtinId="9" hidden="1"/>
    <cellStyle name="Fulgt hyperkobling" xfId="814" builtinId="9" hidden="1"/>
    <cellStyle name="Fulgt hyperkobling" xfId="816" builtinId="9" hidden="1"/>
    <cellStyle name="Fulgt hyperkobling" xfId="818" builtinId="9" hidden="1"/>
    <cellStyle name="Fulgt hyperkobling" xfId="820" builtinId="9" hidden="1"/>
    <cellStyle name="Fulgt hyperkobling" xfId="822" builtinId="9" hidden="1"/>
    <cellStyle name="Fulgt hyperkobling" xfId="824" builtinId="9" hidden="1"/>
    <cellStyle name="Fulgt hyperkobling" xfId="826" builtinId="9" hidden="1"/>
    <cellStyle name="Fulgt hyperkobling" xfId="828" builtinId="9" hidden="1"/>
    <cellStyle name="Fulgt hyperkobling" xfId="830" builtinId="9" hidden="1"/>
    <cellStyle name="Fulgt hyperkobling" xfId="832" builtinId="9" hidden="1"/>
    <cellStyle name="Fulgt hyperkobling" xfId="834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Hyperkobling" xfId="128" builtinId="8" hidden="1"/>
    <cellStyle name="Hyperkobling" xfId="130" builtinId="8" hidden="1"/>
    <cellStyle name="Hyperkobling" xfId="132" builtinId="8" hidden="1"/>
    <cellStyle name="Hyperkobling" xfId="134" builtinId="8" hidden="1"/>
    <cellStyle name="Hyperkobling" xfId="136" builtinId="8" hidden="1"/>
    <cellStyle name="Hyperkobling" xfId="138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Hyperkobling" xfId="156" builtinId="8" hidden="1"/>
    <cellStyle name="Hyperkobling" xfId="158" builtinId="8" hidden="1"/>
    <cellStyle name="Hyperkobling" xfId="160" builtinId="8" hidden="1"/>
    <cellStyle name="Hyperkobling" xfId="162" builtinId="8" hidden="1"/>
    <cellStyle name="Hyperkobling" xfId="164" builtinId="8" hidden="1"/>
    <cellStyle name="Hyperkobling" xfId="166" builtinId="8" hidden="1"/>
    <cellStyle name="Hyperkobling" xfId="168" builtinId="8" hidden="1"/>
    <cellStyle name="Hyperkobling" xfId="170" builtinId="8" hidden="1"/>
    <cellStyle name="Hyperkobling" xfId="172" builtinId="8" hidden="1"/>
    <cellStyle name="Hyperkobling" xfId="174" builtinId="8" hidden="1"/>
    <cellStyle name="Hyperkobling" xfId="176" builtinId="8" hidden="1"/>
    <cellStyle name="Hyperkobling" xfId="178" builtinId="8" hidden="1"/>
    <cellStyle name="Hyperkobling" xfId="180" builtinId="8" hidden="1"/>
    <cellStyle name="Hyperkobling" xfId="182" builtinId="8" hidden="1"/>
    <cellStyle name="Hyperkobling" xfId="184" builtinId="8" hidden="1"/>
    <cellStyle name="Hyperkobling" xfId="186" builtinId="8" hidden="1"/>
    <cellStyle name="Hyperkobling" xfId="188" builtinId="8" hidden="1"/>
    <cellStyle name="Hyperkobling" xfId="190" builtinId="8" hidden="1"/>
    <cellStyle name="Hyperkobling" xfId="192" builtinId="8" hidden="1"/>
    <cellStyle name="Hyperkobling" xfId="194" builtinId="8" hidden="1"/>
    <cellStyle name="Hyperkobling" xfId="196" builtinId="8" hidden="1"/>
    <cellStyle name="Hyperkobling" xfId="198" builtinId="8" hidden="1"/>
    <cellStyle name="Hyperkobling" xfId="200" builtinId="8" hidden="1"/>
    <cellStyle name="Hyperkobling" xfId="202" builtinId="8" hidden="1"/>
    <cellStyle name="Hyperkobling" xfId="204" builtinId="8" hidden="1"/>
    <cellStyle name="Hyperkobling" xfId="206" builtinId="8" hidden="1"/>
    <cellStyle name="Hyperkobling" xfId="208" builtinId="8" hidden="1"/>
    <cellStyle name="Hyperkobling" xfId="210" builtinId="8" hidden="1"/>
    <cellStyle name="Hyperkobling" xfId="212" builtinId="8" hidden="1"/>
    <cellStyle name="Hyperkobling" xfId="214" builtinId="8" hidden="1"/>
    <cellStyle name="Hyperkobling" xfId="216" builtinId="8" hidden="1"/>
    <cellStyle name="Hyperkobling" xfId="218" builtinId="8" hidden="1"/>
    <cellStyle name="Hyperkobling" xfId="220" builtinId="8" hidden="1"/>
    <cellStyle name="Hyperkobling" xfId="222" builtinId="8" hidden="1"/>
    <cellStyle name="Hyperkobling" xfId="224" builtinId="8" hidden="1"/>
    <cellStyle name="Hyperkobling" xfId="226" builtinId="8" hidden="1"/>
    <cellStyle name="Hyperkobling" xfId="228" builtinId="8" hidden="1"/>
    <cellStyle name="Hyperkobling" xfId="230" builtinId="8" hidden="1"/>
    <cellStyle name="Hyperkobling" xfId="232" builtinId="8" hidden="1"/>
    <cellStyle name="Hyperkobling" xfId="234" builtinId="8" hidden="1"/>
    <cellStyle name="Hyperkobling" xfId="236" builtinId="8" hidden="1"/>
    <cellStyle name="Hyperkobling" xfId="238" builtinId="8" hidden="1"/>
    <cellStyle name="Hyperkobling" xfId="240" builtinId="8" hidden="1"/>
    <cellStyle name="Hyperkobling" xfId="242" builtinId="8" hidden="1"/>
    <cellStyle name="Hyperkobling" xfId="244" builtinId="8" hidden="1"/>
    <cellStyle name="Hyperkobling" xfId="246" builtinId="8" hidden="1"/>
    <cellStyle name="Hyperkobling" xfId="248" builtinId="8" hidden="1"/>
    <cellStyle name="Hyperkobling" xfId="250" builtinId="8" hidden="1"/>
    <cellStyle name="Hyperkobling" xfId="252" builtinId="8" hidden="1"/>
    <cellStyle name="Hyperkobling" xfId="254" builtinId="8" hidden="1"/>
    <cellStyle name="Hyperkobling" xfId="256" builtinId="8" hidden="1"/>
    <cellStyle name="Hyperkobling" xfId="258" builtinId="8" hidden="1"/>
    <cellStyle name="Hyperkobling" xfId="260" builtinId="8" hidden="1"/>
    <cellStyle name="Hyperkobling" xfId="262" builtinId="8" hidden="1"/>
    <cellStyle name="Hyperkobling" xfId="264" builtinId="8" hidden="1"/>
    <cellStyle name="Hyperkobling" xfId="266" builtinId="8" hidden="1"/>
    <cellStyle name="Hyperkobling" xfId="268" builtinId="8" hidden="1"/>
    <cellStyle name="Hyperkobling" xfId="270" builtinId="8" hidden="1"/>
    <cellStyle name="Hyperkobling" xfId="272" builtinId="8" hidden="1"/>
    <cellStyle name="Hyperkobling" xfId="274" builtinId="8" hidden="1"/>
    <cellStyle name="Hyperkobling" xfId="276" builtinId="8" hidden="1"/>
    <cellStyle name="Hyperkobling" xfId="278" builtinId="8" hidden="1"/>
    <cellStyle name="Hyperkobling" xfId="280" builtinId="8" hidden="1"/>
    <cellStyle name="Hyperkobling" xfId="282" builtinId="8" hidden="1"/>
    <cellStyle name="Hyperkobling" xfId="284" builtinId="8" hidden="1"/>
    <cellStyle name="Hyperkobling" xfId="286" builtinId="8" hidden="1"/>
    <cellStyle name="Hyperkobling" xfId="288" builtinId="8" hidden="1"/>
    <cellStyle name="Hyperkobling" xfId="290" builtinId="8" hidden="1"/>
    <cellStyle name="Hyperkobling" xfId="292" builtinId="8" hidden="1"/>
    <cellStyle name="Hyperkobling" xfId="294" builtinId="8" hidden="1"/>
    <cellStyle name="Hyperkobling" xfId="296" builtinId="8" hidden="1"/>
    <cellStyle name="Hyperkobling" xfId="298" builtinId="8" hidden="1"/>
    <cellStyle name="Hyperkobling" xfId="300" builtinId="8" hidden="1"/>
    <cellStyle name="Hyperkobling" xfId="302" builtinId="8" hidden="1"/>
    <cellStyle name="Hyperkobling" xfId="304" builtinId="8" hidden="1"/>
    <cellStyle name="Hyperkobling" xfId="306" builtinId="8" hidden="1"/>
    <cellStyle name="Hyperkobling" xfId="308" builtinId="8" hidden="1"/>
    <cellStyle name="Hyperkobling" xfId="310" builtinId="8" hidden="1"/>
    <cellStyle name="Hyperkobling" xfId="312" builtinId="8" hidden="1"/>
    <cellStyle name="Hyperkobling" xfId="314" builtinId="8" hidden="1"/>
    <cellStyle name="Hyperkobling" xfId="316" builtinId="8" hidden="1"/>
    <cellStyle name="Hyperkobling" xfId="318" builtinId="8" hidden="1"/>
    <cellStyle name="Hyperkobling" xfId="320" builtinId="8" hidden="1"/>
    <cellStyle name="Hyperkobling" xfId="322" builtinId="8" hidden="1"/>
    <cellStyle name="Hyperkobling" xfId="324" builtinId="8" hidden="1"/>
    <cellStyle name="Hyperkobling" xfId="326" builtinId="8" hidden="1"/>
    <cellStyle name="Hyperkobling" xfId="328" builtinId="8" hidden="1"/>
    <cellStyle name="Hyperkobling" xfId="330" builtinId="8" hidden="1"/>
    <cellStyle name="Hyperkobling" xfId="332" builtinId="8" hidden="1"/>
    <cellStyle name="Hyperkobling" xfId="334" builtinId="8" hidden="1"/>
    <cellStyle name="Hyperkobling" xfId="336" builtinId="8" hidden="1"/>
    <cellStyle name="Hyperkobling" xfId="338" builtinId="8" hidden="1"/>
    <cellStyle name="Hyperkobling" xfId="340" builtinId="8" hidden="1"/>
    <cellStyle name="Hyperkobling" xfId="342" builtinId="8" hidden="1"/>
    <cellStyle name="Hyperkobling" xfId="344" builtinId="8" hidden="1"/>
    <cellStyle name="Hyperkobling" xfId="346" builtinId="8" hidden="1"/>
    <cellStyle name="Hyperkobling" xfId="348" builtinId="8" hidden="1"/>
    <cellStyle name="Hyperkobling" xfId="350" builtinId="8" hidden="1"/>
    <cellStyle name="Hyperkobling" xfId="352" builtinId="8" hidden="1"/>
    <cellStyle name="Hyperkobling" xfId="354" builtinId="8" hidden="1"/>
    <cellStyle name="Hyperkobling" xfId="356" builtinId="8" hidden="1"/>
    <cellStyle name="Hyperkobling" xfId="358" builtinId="8" hidden="1"/>
    <cellStyle name="Hyperkobling" xfId="360" builtinId="8" hidden="1"/>
    <cellStyle name="Hyperkobling" xfId="362" builtinId="8" hidden="1"/>
    <cellStyle name="Hyperkobling" xfId="364" builtinId="8" hidden="1"/>
    <cellStyle name="Hyperkobling" xfId="366" builtinId="8" hidden="1"/>
    <cellStyle name="Hyperkobling" xfId="368" builtinId="8" hidden="1"/>
    <cellStyle name="Hyperkobling" xfId="370" builtinId="8" hidden="1"/>
    <cellStyle name="Hyperkobling" xfId="372" builtinId="8" hidden="1"/>
    <cellStyle name="Hyperkobling" xfId="374" builtinId="8" hidden="1"/>
    <cellStyle name="Hyperkobling" xfId="376" builtinId="8" hidden="1"/>
    <cellStyle name="Hyperkobling" xfId="378" builtinId="8" hidden="1"/>
    <cellStyle name="Hyperkobling" xfId="381" builtinId="8" hidden="1"/>
    <cellStyle name="Hyperkobling" xfId="383" builtinId="8" hidden="1"/>
    <cellStyle name="Hyperkobling" xfId="385" builtinId="8" hidden="1"/>
    <cellStyle name="Hyperkobling" xfId="387" builtinId="8" hidden="1"/>
    <cellStyle name="Hyperkobling" xfId="389" builtinId="8" hidden="1"/>
    <cellStyle name="Hyperkobling" xfId="391" builtinId="8" hidden="1"/>
    <cellStyle name="Hyperkobling" xfId="393" builtinId="8" hidden="1"/>
    <cellStyle name="Hyperkobling" xfId="395" builtinId="8" hidden="1"/>
    <cellStyle name="Hyperkobling" xfId="397" builtinId="8" hidden="1"/>
    <cellStyle name="Hyperkobling" xfId="399" builtinId="8" hidden="1"/>
    <cellStyle name="Hyperkobling" xfId="401" builtinId="8" hidden="1"/>
    <cellStyle name="Hyperkobling" xfId="403" builtinId="8" hidden="1"/>
    <cellStyle name="Hyperkobling" xfId="405" builtinId="8" hidden="1"/>
    <cellStyle name="Hyperkobling" xfId="407" builtinId="8" hidden="1"/>
    <cellStyle name="Hyperkobling" xfId="409" builtinId="8" hidden="1"/>
    <cellStyle name="Hyperkobling" xfId="411" builtinId="8" hidden="1"/>
    <cellStyle name="Hyperkobling" xfId="413" builtinId="8" hidden="1"/>
    <cellStyle name="Hyperkobling" xfId="415" builtinId="8" hidden="1"/>
    <cellStyle name="Hyperkobling" xfId="417" builtinId="8" hidden="1"/>
    <cellStyle name="Hyperkobling" xfId="419" builtinId="8" hidden="1"/>
    <cellStyle name="Hyperkobling" xfId="421" builtinId="8" hidden="1"/>
    <cellStyle name="Hyperkobling" xfId="423" builtinId="8" hidden="1"/>
    <cellStyle name="Hyperkobling" xfId="425" builtinId="8" hidden="1"/>
    <cellStyle name="Hyperkobling" xfId="427" builtinId="8" hidden="1"/>
    <cellStyle name="Hyperkobling" xfId="429" builtinId="8" hidden="1"/>
    <cellStyle name="Hyperkobling" xfId="431" builtinId="8" hidden="1"/>
    <cellStyle name="Hyperkobling" xfId="433" builtinId="8" hidden="1"/>
    <cellStyle name="Hyperkobling" xfId="435" builtinId="8" hidden="1"/>
    <cellStyle name="Hyperkobling" xfId="437" builtinId="8" hidden="1"/>
    <cellStyle name="Hyperkobling" xfId="439" builtinId="8" hidden="1"/>
    <cellStyle name="Hyperkobling" xfId="441" builtinId="8" hidden="1"/>
    <cellStyle name="Hyperkobling" xfId="443" builtinId="8" hidden="1"/>
    <cellStyle name="Hyperkobling" xfId="445" builtinId="8" hidden="1"/>
    <cellStyle name="Hyperkobling" xfId="447" builtinId="8" hidden="1"/>
    <cellStyle name="Hyperkobling" xfId="449" builtinId="8" hidden="1"/>
    <cellStyle name="Hyperkobling" xfId="451" builtinId="8" hidden="1"/>
    <cellStyle name="Hyperkobling" xfId="453" builtinId="8" hidden="1"/>
    <cellStyle name="Hyperkobling" xfId="455" builtinId="8" hidden="1"/>
    <cellStyle name="Hyperkobling" xfId="457" builtinId="8" hidden="1"/>
    <cellStyle name="Hyperkobling" xfId="459" builtinId="8" hidden="1"/>
    <cellStyle name="Hyperkobling" xfId="461" builtinId="8" hidden="1"/>
    <cellStyle name="Hyperkobling" xfId="463" builtinId="8" hidden="1"/>
    <cellStyle name="Hyperkobling" xfId="465" builtinId="8" hidden="1"/>
    <cellStyle name="Hyperkobling" xfId="467" builtinId="8" hidden="1"/>
    <cellStyle name="Hyperkobling" xfId="469" builtinId="8" hidden="1"/>
    <cellStyle name="Hyperkobling" xfId="471" builtinId="8" hidden="1"/>
    <cellStyle name="Hyperkobling" xfId="473" builtinId="8" hidden="1"/>
    <cellStyle name="Hyperkobling" xfId="475" builtinId="8" hidden="1"/>
    <cellStyle name="Hyperkobling" xfId="477" builtinId="8" hidden="1"/>
    <cellStyle name="Hyperkobling" xfId="479" builtinId="8" hidden="1"/>
    <cellStyle name="Hyperkobling" xfId="481" builtinId="8" hidden="1"/>
    <cellStyle name="Hyperkobling" xfId="483" builtinId="8" hidden="1"/>
    <cellStyle name="Hyperkobling" xfId="485" builtinId="8" hidden="1"/>
    <cellStyle name="Hyperkobling" xfId="487" builtinId="8" hidden="1"/>
    <cellStyle name="Hyperkobling" xfId="489" builtinId="8" hidden="1"/>
    <cellStyle name="Hyperkobling" xfId="491" builtinId="8" hidden="1"/>
    <cellStyle name="Hyperkobling" xfId="493" builtinId="8" hidden="1"/>
    <cellStyle name="Hyperkobling" xfId="495" builtinId="8" hidden="1"/>
    <cellStyle name="Hyperkobling" xfId="497" builtinId="8" hidden="1"/>
    <cellStyle name="Hyperkobling" xfId="499" builtinId="8" hidden="1"/>
    <cellStyle name="Hyperkobling" xfId="501" builtinId="8" hidden="1"/>
    <cellStyle name="Hyperkobling" xfId="503" builtinId="8" hidden="1"/>
    <cellStyle name="Hyperkobling" xfId="505" builtinId="8" hidden="1"/>
    <cellStyle name="Hyperkobling" xfId="507" builtinId="8" hidden="1"/>
    <cellStyle name="Hyperkobling" xfId="509" builtinId="8" hidden="1"/>
    <cellStyle name="Hyperkobling" xfId="511" builtinId="8" hidden="1"/>
    <cellStyle name="Hyperkobling" xfId="513" builtinId="8" hidden="1"/>
    <cellStyle name="Hyperkobling" xfId="515" builtinId="8" hidden="1"/>
    <cellStyle name="Hyperkobling" xfId="517" builtinId="8" hidden="1"/>
    <cellStyle name="Hyperkobling" xfId="519" builtinId="8" hidden="1"/>
    <cellStyle name="Hyperkobling" xfId="521" builtinId="8" hidden="1"/>
    <cellStyle name="Hyperkobling" xfId="523" builtinId="8" hidden="1"/>
    <cellStyle name="Hyperkobling" xfId="525" builtinId="8" hidden="1"/>
    <cellStyle name="Hyperkobling" xfId="527" builtinId="8" hidden="1"/>
    <cellStyle name="Hyperkobling" xfId="529" builtinId="8" hidden="1"/>
    <cellStyle name="Hyperkobling" xfId="531" builtinId="8" hidden="1"/>
    <cellStyle name="Hyperkobling" xfId="533" builtinId="8" hidden="1"/>
    <cellStyle name="Hyperkobling" xfId="535" builtinId="8" hidden="1"/>
    <cellStyle name="Hyperkobling" xfId="537" builtinId="8" hidden="1"/>
    <cellStyle name="Hyperkobling" xfId="539" builtinId="8" hidden="1"/>
    <cellStyle name="Hyperkobling" xfId="541" builtinId="8" hidden="1"/>
    <cellStyle name="Hyperkobling" xfId="543" builtinId="8" hidden="1"/>
    <cellStyle name="Hyperkobling" xfId="545" builtinId="8" hidden="1"/>
    <cellStyle name="Hyperkobling" xfId="547" builtinId="8" hidden="1"/>
    <cellStyle name="Hyperkobling" xfId="549" builtinId="8" hidden="1"/>
    <cellStyle name="Hyperkobling" xfId="551" builtinId="8" hidden="1"/>
    <cellStyle name="Hyperkobling" xfId="553" builtinId="8" hidden="1"/>
    <cellStyle name="Hyperkobling" xfId="555" builtinId="8" hidden="1"/>
    <cellStyle name="Hyperkobling" xfId="557" builtinId="8" hidden="1"/>
    <cellStyle name="Hyperkobling" xfId="559" builtinId="8" hidden="1"/>
    <cellStyle name="Hyperkobling" xfId="561" builtinId="8" hidden="1"/>
    <cellStyle name="Hyperkobling" xfId="563" builtinId="8" hidden="1"/>
    <cellStyle name="Hyperkobling" xfId="565" builtinId="8" hidden="1"/>
    <cellStyle name="Hyperkobling" xfId="567" builtinId="8" hidden="1"/>
    <cellStyle name="Hyperkobling" xfId="569" builtinId="8" hidden="1"/>
    <cellStyle name="Hyperkobling" xfId="571" builtinId="8" hidden="1"/>
    <cellStyle name="Hyperkobling" xfId="573" builtinId="8" hidden="1"/>
    <cellStyle name="Hyperkobling" xfId="575" builtinId="8" hidden="1"/>
    <cellStyle name="Hyperkobling" xfId="577" builtinId="8" hidden="1"/>
    <cellStyle name="Hyperkobling" xfId="579" builtinId="8" hidden="1"/>
    <cellStyle name="Hyperkobling" xfId="581" builtinId="8" hidden="1"/>
    <cellStyle name="Hyperkobling" xfId="583" builtinId="8" hidden="1"/>
    <cellStyle name="Hyperkobling" xfId="585" builtinId="8" hidden="1"/>
    <cellStyle name="Hyperkobling" xfId="587" builtinId="8" hidden="1"/>
    <cellStyle name="Hyperkobling" xfId="589" builtinId="8" hidden="1"/>
    <cellStyle name="Hyperkobling" xfId="591" builtinId="8" hidden="1"/>
    <cellStyle name="Hyperkobling" xfId="593" builtinId="8" hidden="1"/>
    <cellStyle name="Hyperkobling" xfId="595" builtinId="8" hidden="1"/>
    <cellStyle name="Hyperkobling" xfId="597" builtinId="8" hidden="1"/>
    <cellStyle name="Hyperkobling" xfId="599" builtinId="8" hidden="1"/>
    <cellStyle name="Hyperkobling" xfId="601" builtinId="8" hidden="1"/>
    <cellStyle name="Hyperkobling" xfId="603" builtinId="8" hidden="1"/>
    <cellStyle name="Hyperkobling" xfId="605" builtinId="8" hidden="1"/>
    <cellStyle name="Hyperkobling" xfId="607" builtinId="8" hidden="1"/>
    <cellStyle name="Hyperkobling" xfId="609" builtinId="8" hidden="1"/>
    <cellStyle name="Hyperkobling" xfId="611" builtinId="8" hidden="1"/>
    <cellStyle name="Hyperkobling" xfId="613" builtinId="8" hidden="1"/>
    <cellStyle name="Hyperkobling" xfId="615" builtinId="8" hidden="1"/>
    <cellStyle name="Hyperkobling" xfId="617" builtinId="8" hidden="1"/>
    <cellStyle name="Hyperkobling" xfId="619" builtinId="8" hidden="1"/>
    <cellStyle name="Hyperkobling" xfId="621" builtinId="8" hidden="1"/>
    <cellStyle name="Hyperkobling" xfId="623" builtinId="8" hidden="1"/>
    <cellStyle name="Hyperkobling" xfId="625" builtinId="8" hidden="1"/>
    <cellStyle name="Hyperkobling" xfId="627" builtinId="8" hidden="1"/>
    <cellStyle name="Hyperkobling" xfId="629" builtinId="8" hidden="1"/>
    <cellStyle name="Hyperkobling" xfId="631" builtinId="8" hidden="1"/>
    <cellStyle name="Hyperkobling" xfId="633" builtinId="8" hidden="1"/>
    <cellStyle name="Hyperkobling" xfId="635" builtinId="8" hidden="1"/>
    <cellStyle name="Hyperkobling" xfId="637" builtinId="8" hidden="1"/>
    <cellStyle name="Hyperkobling" xfId="639" builtinId="8" hidden="1"/>
    <cellStyle name="Hyperkobling" xfId="641" builtinId="8" hidden="1"/>
    <cellStyle name="Hyperkobling" xfId="643" builtinId="8" hidden="1"/>
    <cellStyle name="Hyperkobling" xfId="645" builtinId="8" hidden="1"/>
    <cellStyle name="Hyperkobling" xfId="647" builtinId="8" hidden="1"/>
    <cellStyle name="Hyperkobling" xfId="649" builtinId="8" hidden="1"/>
    <cellStyle name="Hyperkobling" xfId="651" builtinId="8" hidden="1"/>
    <cellStyle name="Hyperkobling" xfId="653" builtinId="8" hidden="1"/>
    <cellStyle name="Hyperkobling" xfId="655" builtinId="8" hidden="1"/>
    <cellStyle name="Hyperkobling" xfId="657" builtinId="8" hidden="1"/>
    <cellStyle name="Hyperkobling" xfId="659" builtinId="8" hidden="1"/>
    <cellStyle name="Hyperkobling" xfId="661" builtinId="8" hidden="1"/>
    <cellStyle name="Hyperkobling" xfId="663" builtinId="8" hidden="1"/>
    <cellStyle name="Hyperkobling" xfId="665" builtinId="8" hidden="1"/>
    <cellStyle name="Hyperkobling" xfId="667" builtinId="8" hidden="1"/>
    <cellStyle name="Hyperkobling" xfId="669" builtinId="8" hidden="1"/>
    <cellStyle name="Hyperkobling" xfId="671" builtinId="8" hidden="1"/>
    <cellStyle name="Hyperkobling" xfId="673" builtinId="8" hidden="1"/>
    <cellStyle name="Hyperkobling" xfId="675" builtinId="8" hidden="1"/>
    <cellStyle name="Hyperkobling" xfId="677" builtinId="8" hidden="1"/>
    <cellStyle name="Hyperkobling" xfId="679" builtinId="8" hidden="1"/>
    <cellStyle name="Hyperkobling" xfId="681" builtinId="8" hidden="1"/>
    <cellStyle name="Hyperkobling" xfId="683" builtinId="8" hidden="1"/>
    <cellStyle name="Hyperkobling" xfId="685" builtinId="8" hidden="1"/>
    <cellStyle name="Hyperkobling" xfId="687" builtinId="8" hidden="1"/>
    <cellStyle name="Hyperkobling" xfId="689" builtinId="8" hidden="1"/>
    <cellStyle name="Hyperkobling" xfId="691" builtinId="8" hidden="1"/>
    <cellStyle name="Hyperkobling" xfId="693" builtinId="8" hidden="1"/>
    <cellStyle name="Hyperkobling" xfId="695" builtinId="8" hidden="1"/>
    <cellStyle name="Hyperkobling" xfId="697" builtinId="8" hidden="1"/>
    <cellStyle name="Hyperkobling" xfId="699" builtinId="8" hidden="1"/>
    <cellStyle name="Hyperkobling" xfId="701" builtinId="8" hidden="1"/>
    <cellStyle name="Hyperkobling" xfId="703" builtinId="8" hidden="1"/>
    <cellStyle name="Hyperkobling" xfId="705" builtinId="8" hidden="1"/>
    <cellStyle name="Hyperkobling" xfId="707" builtinId="8" hidden="1"/>
    <cellStyle name="Hyperkobling" xfId="709" builtinId="8" hidden="1"/>
    <cellStyle name="Hyperkobling" xfId="711" builtinId="8" hidden="1"/>
    <cellStyle name="Hyperkobling" xfId="713" builtinId="8" hidden="1"/>
    <cellStyle name="Hyperkobling" xfId="715" builtinId="8" hidden="1"/>
    <cellStyle name="Hyperkobling" xfId="717" builtinId="8" hidden="1"/>
    <cellStyle name="Hyperkobling" xfId="719" builtinId="8" hidden="1"/>
    <cellStyle name="Hyperkobling" xfId="721" builtinId="8" hidden="1"/>
    <cellStyle name="Hyperkobling" xfId="723" builtinId="8" hidden="1"/>
    <cellStyle name="Hyperkobling" xfId="725" builtinId="8" hidden="1"/>
    <cellStyle name="Hyperkobling" xfId="727" builtinId="8" hidden="1"/>
    <cellStyle name="Hyperkobling" xfId="729" builtinId="8" hidden="1"/>
    <cellStyle name="Hyperkobling" xfId="731" builtinId="8" hidden="1"/>
    <cellStyle name="Hyperkobling" xfId="733" builtinId="8" hidden="1"/>
    <cellStyle name="Hyperkobling" xfId="735" builtinId="8" hidden="1"/>
    <cellStyle name="Hyperkobling" xfId="737" builtinId="8" hidden="1"/>
    <cellStyle name="Hyperkobling" xfId="739" builtinId="8" hidden="1"/>
    <cellStyle name="Hyperkobling" xfId="741" builtinId="8" hidden="1"/>
    <cellStyle name="Hyperkobling" xfId="743" builtinId="8" hidden="1"/>
    <cellStyle name="Hyperkobling" xfId="745" builtinId="8" hidden="1"/>
    <cellStyle name="Hyperkobling" xfId="747" builtinId="8" hidden="1"/>
    <cellStyle name="Hyperkobling" xfId="749" builtinId="8" hidden="1"/>
    <cellStyle name="Hyperkobling" xfId="751" builtinId="8" hidden="1"/>
    <cellStyle name="Hyperkobling" xfId="753" builtinId="8" hidden="1"/>
    <cellStyle name="Hyperkobling" xfId="755" builtinId="8" hidden="1"/>
    <cellStyle name="Hyperkobling" xfId="757" builtinId="8" hidden="1"/>
    <cellStyle name="Hyperkobling" xfId="759" builtinId="8" hidden="1"/>
    <cellStyle name="Hyperkobling" xfId="761" builtinId="8" hidden="1"/>
    <cellStyle name="Hyperkobling" xfId="763" builtinId="8" hidden="1"/>
    <cellStyle name="Hyperkobling" xfId="765" builtinId="8" hidden="1"/>
    <cellStyle name="Hyperkobling" xfId="767" builtinId="8" hidden="1"/>
    <cellStyle name="Hyperkobling" xfId="769" builtinId="8" hidden="1"/>
    <cellStyle name="Hyperkobling" xfId="771" builtinId="8" hidden="1"/>
    <cellStyle name="Hyperkobling" xfId="773" builtinId="8" hidden="1"/>
    <cellStyle name="Hyperkobling" xfId="775" builtinId="8" hidden="1"/>
    <cellStyle name="Hyperkobling" xfId="777" builtinId="8" hidden="1"/>
    <cellStyle name="Hyperkobling" xfId="779" builtinId="8" hidden="1"/>
    <cellStyle name="Hyperkobling" xfId="781" builtinId="8" hidden="1"/>
    <cellStyle name="Hyperkobling" xfId="783" builtinId="8" hidden="1"/>
    <cellStyle name="Hyperkobling" xfId="785" builtinId="8" hidden="1"/>
    <cellStyle name="Hyperkobling" xfId="787" builtinId="8" hidden="1"/>
    <cellStyle name="Hyperkobling" xfId="789" builtinId="8" hidden="1"/>
    <cellStyle name="Hyperkobling" xfId="791" builtinId="8" hidden="1"/>
    <cellStyle name="Hyperkobling" xfId="793" builtinId="8" hidden="1"/>
    <cellStyle name="Hyperkobling" xfId="795" builtinId="8" hidden="1"/>
    <cellStyle name="Hyperkobling" xfId="797" builtinId="8" hidden="1"/>
    <cellStyle name="Hyperkobling" xfId="799" builtinId="8" hidden="1"/>
    <cellStyle name="Hyperkobling" xfId="801" builtinId="8" hidden="1"/>
    <cellStyle name="Hyperkobling" xfId="803" builtinId="8" hidden="1"/>
    <cellStyle name="Hyperkobling" xfId="805" builtinId="8" hidden="1"/>
    <cellStyle name="Hyperkobling" xfId="807" builtinId="8" hidden="1"/>
    <cellStyle name="Hyperkobling" xfId="809" builtinId="8" hidden="1"/>
    <cellStyle name="Hyperkobling" xfId="811" builtinId="8" hidden="1"/>
    <cellStyle name="Hyperkobling" xfId="813" builtinId="8" hidden="1"/>
    <cellStyle name="Hyperkobling" xfId="815" builtinId="8" hidden="1"/>
    <cellStyle name="Hyperkobling" xfId="817" builtinId="8" hidden="1"/>
    <cellStyle name="Hyperkobling" xfId="819" builtinId="8" hidden="1"/>
    <cellStyle name="Hyperkobling" xfId="821" builtinId="8" hidden="1"/>
    <cellStyle name="Hyperkobling" xfId="823" builtinId="8" hidden="1"/>
    <cellStyle name="Hyperkobling" xfId="825" builtinId="8" hidden="1"/>
    <cellStyle name="Hyperkobling" xfId="827" builtinId="8" hidden="1"/>
    <cellStyle name="Hyperkobling" xfId="829" builtinId="8" hidden="1"/>
    <cellStyle name="Hyperkobling" xfId="831" builtinId="8" hidden="1"/>
    <cellStyle name="Hyperkobling" xfId="833" builtinId="8" hidden="1"/>
    <cellStyle name="Komma" xfId="380" builtinId="3"/>
    <cellStyle name="Normal" xfId="0" builtinId="0"/>
    <cellStyle name="Prosent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tervju%20logistikkakt&#248;r%20r&#229;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>
        <row r="35">
          <cell r="B35">
            <v>0.7</v>
          </cell>
          <cell r="C35">
            <v>0</v>
          </cell>
          <cell r="D35">
            <v>0</v>
          </cell>
          <cell r="E35">
            <v>0</v>
          </cell>
          <cell r="F35">
            <v>0.3</v>
          </cell>
        </row>
        <row r="36">
          <cell r="B36">
            <v>0.7</v>
          </cell>
          <cell r="C36">
            <v>0</v>
          </cell>
          <cell r="D36">
            <v>0</v>
          </cell>
          <cell r="E36">
            <v>0</v>
          </cell>
          <cell r="F36">
            <v>0.3</v>
          </cell>
        </row>
        <row r="37">
          <cell r="B37">
            <v>0</v>
          </cell>
          <cell r="C37">
            <v>0.7</v>
          </cell>
          <cell r="D37">
            <v>0.3</v>
          </cell>
          <cell r="E37">
            <v>0</v>
          </cell>
          <cell r="F37">
            <v>0</v>
          </cell>
        </row>
        <row r="38">
          <cell r="B38">
            <v>0</v>
          </cell>
          <cell r="D38">
            <v>0.03</v>
          </cell>
          <cell r="E38">
            <v>0.95</v>
          </cell>
          <cell r="F38">
            <v>0.02</v>
          </cell>
        </row>
        <row r="39">
          <cell r="B39">
            <v>0</v>
          </cell>
          <cell r="C39">
            <v>0.1</v>
          </cell>
          <cell r="D39">
            <v>0</v>
          </cell>
          <cell r="E39">
            <v>0.7</v>
          </cell>
          <cell r="F39">
            <v>0.2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0.9</v>
          </cell>
          <cell r="F40">
            <v>0.1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1</v>
          </cell>
          <cell r="F41">
            <v>0</v>
          </cell>
        </row>
        <row r="42">
          <cell r="B42">
            <v>0.2</v>
          </cell>
          <cell r="C42">
            <v>0.2</v>
          </cell>
          <cell r="D42">
            <v>0.2</v>
          </cell>
          <cell r="E42">
            <v>0.2</v>
          </cell>
          <cell r="F42">
            <v>0.2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38"/>
  <sheetViews>
    <sheetView workbookViewId="0">
      <pane xSplit="1" topLeftCell="AN1" activePane="topRight" state="frozen"/>
      <selection pane="topRight" activeCell="AS25" sqref="AS25"/>
    </sheetView>
  </sheetViews>
  <sheetFormatPr baseColWidth="10" defaultRowHeight="15" x14ac:dyDescent="0"/>
  <cols>
    <col min="1" max="1" width="13.7109375" customWidth="1"/>
    <col min="2" max="4" width="14.7109375" customWidth="1"/>
    <col min="5" max="5" width="18" bestFit="1" customWidth="1"/>
    <col min="6" max="14" width="14.7109375" customWidth="1"/>
    <col min="60" max="60" width="10.7109375" style="9"/>
    <col min="69" max="69" width="15.85546875" bestFit="1" customWidth="1"/>
    <col min="89" max="89" width="40.5703125" bestFit="1" customWidth="1"/>
    <col min="90" max="90" width="27.5703125" bestFit="1" customWidth="1"/>
  </cols>
  <sheetData>
    <row r="1" spans="1:94">
      <c r="A1" t="s">
        <v>0</v>
      </c>
      <c r="B1" t="s">
        <v>1</v>
      </c>
      <c r="C1" t="s">
        <v>2</v>
      </c>
      <c r="D1" t="s">
        <v>172</v>
      </c>
      <c r="E1" t="s">
        <v>82</v>
      </c>
      <c r="F1" t="s">
        <v>3</v>
      </c>
      <c r="G1" t="s">
        <v>4</v>
      </c>
      <c r="H1" t="s">
        <v>5</v>
      </c>
      <c r="I1" t="s">
        <v>156</v>
      </c>
      <c r="J1" t="s">
        <v>157</v>
      </c>
      <c r="K1" t="s">
        <v>196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22</v>
      </c>
      <c r="AC1" t="s">
        <v>23</v>
      </c>
      <c r="AD1" t="s">
        <v>24</v>
      </c>
      <c r="AE1" t="s">
        <v>25</v>
      </c>
      <c r="AF1" t="s">
        <v>26</v>
      </c>
      <c r="AG1" t="s">
        <v>27</v>
      </c>
      <c r="AH1" t="s">
        <v>28</v>
      </c>
      <c r="AI1" t="s">
        <v>29</v>
      </c>
      <c r="AJ1" t="s">
        <v>30</v>
      </c>
      <c r="AK1" t="s">
        <v>31</v>
      </c>
      <c r="AL1" t="s">
        <v>32</v>
      </c>
      <c r="AM1" t="s">
        <v>33</v>
      </c>
      <c r="AN1" t="s">
        <v>34</v>
      </c>
      <c r="AO1" t="s">
        <v>35</v>
      </c>
      <c r="AP1" t="s">
        <v>36</v>
      </c>
      <c r="AQ1" t="s">
        <v>37</v>
      </c>
      <c r="AR1" t="s">
        <v>73</v>
      </c>
      <c r="AS1" t="s">
        <v>74</v>
      </c>
      <c r="AT1" t="s">
        <v>75</v>
      </c>
      <c r="AU1" t="s">
        <v>76</v>
      </c>
      <c r="AV1" t="s">
        <v>145</v>
      </c>
      <c r="AW1" t="s">
        <v>178</v>
      </c>
      <c r="AX1" t="s">
        <v>77</v>
      </c>
      <c r="AY1" t="s">
        <v>78</v>
      </c>
      <c r="AZ1" t="s">
        <v>79</v>
      </c>
      <c r="BA1" t="s">
        <v>80</v>
      </c>
      <c r="BB1" t="s">
        <v>146</v>
      </c>
      <c r="BC1" t="s">
        <v>38</v>
      </c>
      <c r="BD1" t="s">
        <v>39</v>
      </c>
      <c r="BE1" t="s">
        <v>40</v>
      </c>
      <c r="BF1" t="s">
        <v>147</v>
      </c>
      <c r="BG1" t="s">
        <v>41</v>
      </c>
      <c r="BH1" s="9" t="s">
        <v>158</v>
      </c>
      <c r="BI1" t="s">
        <v>42</v>
      </c>
      <c r="BJ1" t="s">
        <v>43</v>
      </c>
      <c r="BK1" t="s">
        <v>44</v>
      </c>
      <c r="BL1" t="s">
        <v>45</v>
      </c>
      <c r="BM1" t="s">
        <v>148</v>
      </c>
      <c r="BN1" t="s">
        <v>46</v>
      </c>
      <c r="BO1" t="s">
        <v>47</v>
      </c>
      <c r="BP1" t="s">
        <v>48</v>
      </c>
      <c r="BQ1" t="s">
        <v>86</v>
      </c>
      <c r="BR1" t="s">
        <v>49</v>
      </c>
      <c r="BS1" t="s">
        <v>50</v>
      </c>
      <c r="BT1" t="s">
        <v>51</v>
      </c>
      <c r="BU1" t="s">
        <v>52</v>
      </c>
      <c r="BV1" t="s">
        <v>53</v>
      </c>
      <c r="BW1" t="s">
        <v>54</v>
      </c>
      <c r="BX1" t="s">
        <v>55</v>
      </c>
      <c r="BY1" t="s">
        <v>56</v>
      </c>
      <c r="BZ1" t="s">
        <v>57</v>
      </c>
      <c r="CA1" t="s">
        <v>58</v>
      </c>
      <c r="CB1" t="s">
        <v>59</v>
      </c>
      <c r="CC1" t="s">
        <v>60</v>
      </c>
      <c r="CD1" t="s">
        <v>61</v>
      </c>
      <c r="CE1" t="s">
        <v>62</v>
      </c>
      <c r="CF1" t="s">
        <v>63</v>
      </c>
      <c r="CG1" t="s">
        <v>64</v>
      </c>
      <c r="CH1" t="s">
        <v>65</v>
      </c>
      <c r="CI1" t="s">
        <v>66</v>
      </c>
      <c r="CJ1" t="s">
        <v>67</v>
      </c>
      <c r="CK1" t="s">
        <v>68</v>
      </c>
      <c r="CL1" t="s">
        <v>69</v>
      </c>
      <c r="CM1" t="s">
        <v>70</v>
      </c>
      <c r="CN1" t="s">
        <v>71</v>
      </c>
      <c r="CO1" t="s">
        <v>72</v>
      </c>
    </row>
    <row r="2" spans="1:94">
      <c r="A2" s="2">
        <v>159</v>
      </c>
      <c r="B2" t="s">
        <v>85</v>
      </c>
      <c r="C2" s="2">
        <v>11</v>
      </c>
      <c r="D2" s="2" t="s">
        <v>164</v>
      </c>
      <c r="E2" t="s">
        <v>159</v>
      </c>
      <c r="F2" s="2">
        <v>1</v>
      </c>
      <c r="G2" s="2">
        <v>1</v>
      </c>
      <c r="H2" s="2">
        <v>4</v>
      </c>
      <c r="I2" s="2">
        <f t="shared" ref="I2:I33" si="0">IF(H2=3,(4.5*22),IF(H2=4,(2.5*22),IF(H2=5,(1*22),IF(H2=6,(0.75*22),IF(H2=7,(0.3*22),IF(H2=8,(0.091*22),IF(H2=9,(0.03*22))))))))</f>
        <v>55</v>
      </c>
      <c r="J2" s="2">
        <f t="shared" ref="J2:J33" si="1">I2/22</f>
        <v>2.5</v>
      </c>
      <c r="K2" s="4">
        <v>1</v>
      </c>
      <c r="L2" s="2">
        <v>6</v>
      </c>
      <c r="M2" s="2">
        <v>0</v>
      </c>
      <c r="N2" s="2">
        <v>3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1</v>
      </c>
      <c r="U2" s="2">
        <v>1</v>
      </c>
      <c r="V2" s="2">
        <v>1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6</v>
      </c>
      <c r="AD2" s="2">
        <v>97</v>
      </c>
      <c r="AE2" s="2">
        <v>97</v>
      </c>
      <c r="AF2" s="2">
        <v>97</v>
      </c>
      <c r="AG2" s="2">
        <v>97</v>
      </c>
      <c r="AH2" s="2">
        <v>97</v>
      </c>
      <c r="AI2" s="2">
        <v>97</v>
      </c>
      <c r="AJ2" s="2">
        <v>97</v>
      </c>
      <c r="AK2" s="2">
        <v>97</v>
      </c>
      <c r="AL2" s="2">
        <v>97</v>
      </c>
      <c r="AM2" s="2">
        <v>97</v>
      </c>
      <c r="AN2" s="2">
        <v>97</v>
      </c>
      <c r="AO2" s="2">
        <v>97</v>
      </c>
      <c r="AP2" s="2">
        <v>1</v>
      </c>
      <c r="AQ2" s="2">
        <v>6</v>
      </c>
      <c r="AR2" s="2"/>
      <c r="AS2" s="2"/>
      <c r="AT2" s="2">
        <v>3</v>
      </c>
      <c r="AU2" s="2">
        <f t="shared" ref="AU2:AU33" si="2">AR2+(AS2*333)+(AT2*333)</f>
        <v>999</v>
      </c>
      <c r="AV2" s="2">
        <f t="shared" ref="AV2:AV33" si="3">IF(AU2=99999,0,IF(AU2=99998,0,AU2))</f>
        <v>999</v>
      </c>
      <c r="AW2" s="1">
        <f t="shared" ref="AW2:AW33" si="4">AV2/5.5</f>
        <v>181.63636363636363</v>
      </c>
      <c r="AX2" s="2">
        <v>20</v>
      </c>
      <c r="AY2" s="2"/>
      <c r="AZ2" s="2"/>
      <c r="BA2" s="2">
        <f t="shared" ref="BA2:BA33" si="5">AX2+(AY2*333)+(AZ2*333)</f>
        <v>20</v>
      </c>
      <c r="BB2" s="2">
        <f t="shared" ref="BB2:BB33" si="6">IF(BA2=99999,0,IF(BA2=99998,0,IF(BA2=99997,0,BA2)))</f>
        <v>20</v>
      </c>
      <c r="BC2" s="2">
        <v>0</v>
      </c>
      <c r="BD2" s="2">
        <v>1</v>
      </c>
      <c r="BE2" s="2">
        <v>10</v>
      </c>
      <c r="BF2" s="4">
        <f t="shared" ref="BF2:BF33" si="7">IF(BE2=99,0,IF(BE2=98,0,IF(BE2=97,0,BE2)))</f>
        <v>10</v>
      </c>
      <c r="BG2" s="2">
        <v>1</v>
      </c>
      <c r="BH2" s="5">
        <f t="shared" ref="BH2:BH33" si="8">IF(BG2&lt;97,(BG2*J2),0)</f>
        <v>2.5</v>
      </c>
      <c r="BI2" s="2">
        <v>0</v>
      </c>
      <c r="BJ2" s="2">
        <v>6</v>
      </c>
      <c r="BK2" s="2">
        <v>0</v>
      </c>
      <c r="BL2" t="s">
        <v>83</v>
      </c>
      <c r="BM2" s="2">
        <f t="shared" ref="BM2:BM33" si="9">IF(BL2="Dør",1,0)</f>
        <v>1</v>
      </c>
      <c r="BN2" s="2">
        <v>0</v>
      </c>
      <c r="BO2" s="2">
        <v>99997</v>
      </c>
      <c r="BP2" s="2">
        <v>1</v>
      </c>
      <c r="BQ2" s="2">
        <v>97</v>
      </c>
      <c r="BR2" s="2">
        <v>0</v>
      </c>
      <c r="BS2" s="2">
        <v>0</v>
      </c>
      <c r="BT2" s="2">
        <v>97</v>
      </c>
      <c r="BU2" s="2">
        <v>1</v>
      </c>
      <c r="BV2" s="2">
        <v>1</v>
      </c>
      <c r="BW2" s="2">
        <v>1</v>
      </c>
      <c r="BX2" s="2">
        <v>1</v>
      </c>
      <c r="BY2" s="2">
        <v>1</v>
      </c>
      <c r="BZ2" s="2">
        <v>0</v>
      </c>
      <c r="CA2" s="2">
        <v>0</v>
      </c>
      <c r="CB2" s="2">
        <v>0</v>
      </c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>
        <v>0</v>
      </c>
      <c r="CJ2" s="2">
        <v>0</v>
      </c>
      <c r="CK2" s="2">
        <v>97</v>
      </c>
      <c r="CL2" s="2">
        <v>97</v>
      </c>
      <c r="CM2" s="2">
        <v>7</v>
      </c>
      <c r="CN2" s="2">
        <v>7</v>
      </c>
      <c r="CO2" s="2">
        <v>99</v>
      </c>
    </row>
    <row r="3" spans="1:94">
      <c r="A3">
        <v>158</v>
      </c>
      <c r="B3" t="s">
        <v>87</v>
      </c>
      <c r="C3" s="2">
        <v>18</v>
      </c>
      <c r="D3" s="2" t="s">
        <v>173</v>
      </c>
      <c r="E3" t="s">
        <v>143</v>
      </c>
      <c r="F3" s="2">
        <v>1</v>
      </c>
      <c r="G3" s="2">
        <v>1</v>
      </c>
      <c r="H3" s="2">
        <v>8</v>
      </c>
      <c r="I3" s="2">
        <f t="shared" si="0"/>
        <v>2.0019999999999998</v>
      </c>
      <c r="J3" s="2">
        <f t="shared" si="1"/>
        <v>9.0999999999999984E-2</v>
      </c>
      <c r="K3" s="4">
        <v>9.0999999999999998E-2</v>
      </c>
      <c r="L3" s="2">
        <v>6</v>
      </c>
      <c r="M3" s="2">
        <v>1</v>
      </c>
      <c r="N3" s="2">
        <v>3</v>
      </c>
      <c r="O3" s="2">
        <v>0</v>
      </c>
      <c r="P3" s="2">
        <v>0</v>
      </c>
      <c r="Q3" s="2">
        <v>0</v>
      </c>
      <c r="R3" s="2">
        <v>1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4</v>
      </c>
      <c r="AD3" s="2">
        <v>0</v>
      </c>
      <c r="AE3" s="2">
        <v>0</v>
      </c>
      <c r="AF3" s="2">
        <v>0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1</v>
      </c>
      <c r="AQ3" s="2">
        <v>4</v>
      </c>
      <c r="AR3" s="2"/>
      <c r="AS3" s="2"/>
      <c r="AT3" s="2">
        <v>3</v>
      </c>
      <c r="AU3" s="2">
        <f t="shared" si="2"/>
        <v>999</v>
      </c>
      <c r="AV3" s="2">
        <f t="shared" si="3"/>
        <v>999</v>
      </c>
      <c r="AW3" s="1">
        <f t="shared" si="4"/>
        <v>181.63636363636363</v>
      </c>
      <c r="AX3" s="2"/>
      <c r="AY3" s="2"/>
      <c r="AZ3" s="2">
        <v>3</v>
      </c>
      <c r="BA3" s="2">
        <f t="shared" si="5"/>
        <v>999</v>
      </c>
      <c r="BB3" s="2">
        <f t="shared" si="6"/>
        <v>999</v>
      </c>
      <c r="BC3" s="2">
        <v>0</v>
      </c>
      <c r="BD3" s="2">
        <v>97</v>
      </c>
      <c r="BE3" s="2">
        <v>1</v>
      </c>
      <c r="BF3" s="4">
        <f t="shared" si="7"/>
        <v>1</v>
      </c>
      <c r="BG3" s="2">
        <v>1</v>
      </c>
      <c r="BH3" s="5">
        <f t="shared" si="8"/>
        <v>9.0999999999999984E-2</v>
      </c>
      <c r="BI3" s="2">
        <v>0</v>
      </c>
      <c r="BJ3" s="2">
        <v>3</v>
      </c>
      <c r="BK3" s="2">
        <v>0</v>
      </c>
      <c r="BL3" t="s">
        <v>83</v>
      </c>
      <c r="BM3" s="2">
        <f t="shared" si="9"/>
        <v>1</v>
      </c>
      <c r="BN3" s="2">
        <v>1</v>
      </c>
      <c r="BO3" s="2">
        <v>20</v>
      </c>
      <c r="BP3" s="2">
        <v>3</v>
      </c>
      <c r="BQ3" s="2">
        <v>97</v>
      </c>
      <c r="BR3" s="2">
        <v>1</v>
      </c>
      <c r="BS3" s="2">
        <v>0</v>
      </c>
      <c r="BT3" s="2">
        <v>97</v>
      </c>
      <c r="BU3" s="2">
        <v>0</v>
      </c>
      <c r="BV3" s="2">
        <v>0</v>
      </c>
      <c r="BW3" s="2">
        <v>0</v>
      </c>
      <c r="BX3" s="2">
        <v>1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97</v>
      </c>
      <c r="CL3" s="2">
        <v>97</v>
      </c>
      <c r="CM3" s="2">
        <v>98</v>
      </c>
      <c r="CN3" s="2">
        <v>6</v>
      </c>
      <c r="CO3" s="2">
        <v>99</v>
      </c>
      <c r="CP3" t="s">
        <v>144</v>
      </c>
    </row>
    <row r="4" spans="1:94">
      <c r="A4">
        <v>157</v>
      </c>
      <c r="B4" t="s">
        <v>91</v>
      </c>
      <c r="C4" s="2">
        <v>7</v>
      </c>
      <c r="D4" s="2" t="s">
        <v>175</v>
      </c>
      <c r="E4">
        <v>97</v>
      </c>
      <c r="F4" s="2">
        <v>0</v>
      </c>
      <c r="G4" s="2">
        <v>0</v>
      </c>
      <c r="H4" s="2">
        <v>8</v>
      </c>
      <c r="I4" s="2">
        <f t="shared" si="0"/>
        <v>2.0019999999999998</v>
      </c>
      <c r="J4" s="2">
        <f t="shared" si="1"/>
        <v>9.0999999999999984E-2</v>
      </c>
      <c r="K4" s="4">
        <v>9.0999999999999998E-2</v>
      </c>
      <c r="L4" s="2">
        <v>6</v>
      </c>
      <c r="M4" s="2">
        <v>0</v>
      </c>
      <c r="N4" s="2">
        <v>3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2">
        <v>1</v>
      </c>
      <c r="X4" s="2">
        <v>1</v>
      </c>
      <c r="Y4" s="2">
        <v>0</v>
      </c>
      <c r="Z4" s="2">
        <v>0</v>
      </c>
      <c r="AA4" s="2">
        <v>0</v>
      </c>
      <c r="AB4" s="2">
        <v>1</v>
      </c>
      <c r="AC4" s="2">
        <v>3</v>
      </c>
      <c r="AD4" s="2">
        <v>0</v>
      </c>
      <c r="AE4" s="2">
        <v>0</v>
      </c>
      <c r="AF4" s="2">
        <v>0</v>
      </c>
      <c r="AG4" s="2">
        <v>0</v>
      </c>
      <c r="AH4" s="2">
        <v>1</v>
      </c>
      <c r="AI4" s="2">
        <v>1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5</v>
      </c>
      <c r="AR4" s="2">
        <v>5</v>
      </c>
      <c r="AS4" s="2"/>
      <c r="AT4" s="2"/>
      <c r="AU4" s="2">
        <f t="shared" si="2"/>
        <v>5</v>
      </c>
      <c r="AV4" s="2">
        <f t="shared" si="3"/>
        <v>5</v>
      </c>
      <c r="AW4" s="1">
        <f t="shared" si="4"/>
        <v>0.90909090909090906</v>
      </c>
      <c r="AX4" s="2">
        <v>5</v>
      </c>
      <c r="AY4" s="2"/>
      <c r="AZ4" s="2"/>
      <c r="BA4" s="2">
        <f t="shared" si="5"/>
        <v>5</v>
      </c>
      <c r="BB4" s="2">
        <f t="shared" si="6"/>
        <v>5</v>
      </c>
      <c r="BC4" s="2">
        <v>0</v>
      </c>
      <c r="BD4" s="2">
        <v>1</v>
      </c>
      <c r="BE4" s="2">
        <v>1</v>
      </c>
      <c r="BF4" s="4">
        <f t="shared" si="7"/>
        <v>1</v>
      </c>
      <c r="BG4" s="2">
        <v>1</v>
      </c>
      <c r="BH4" s="5">
        <f t="shared" si="8"/>
        <v>9.0999999999999984E-2</v>
      </c>
      <c r="BI4" s="2">
        <v>0</v>
      </c>
      <c r="BJ4" s="2">
        <v>4</v>
      </c>
      <c r="BK4" s="2">
        <v>0</v>
      </c>
      <c r="BL4" t="s">
        <v>83</v>
      </c>
      <c r="BM4" s="2">
        <f t="shared" si="9"/>
        <v>1</v>
      </c>
      <c r="BN4" s="2">
        <v>1</v>
      </c>
      <c r="BO4" s="2">
        <v>100</v>
      </c>
      <c r="BP4" s="2">
        <v>1</v>
      </c>
      <c r="BQ4" s="2">
        <v>97</v>
      </c>
      <c r="BR4" s="2">
        <v>0</v>
      </c>
      <c r="BS4" s="2">
        <v>0</v>
      </c>
      <c r="BT4" s="2">
        <v>97</v>
      </c>
      <c r="BU4" s="2">
        <v>1</v>
      </c>
      <c r="BV4" s="2">
        <v>1</v>
      </c>
      <c r="BW4" s="2">
        <v>1</v>
      </c>
      <c r="BX4" s="2">
        <v>0</v>
      </c>
      <c r="BY4" s="2">
        <v>1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 t="s">
        <v>92</v>
      </c>
      <c r="CL4" s="2">
        <v>97</v>
      </c>
      <c r="CM4" s="2">
        <v>4</v>
      </c>
      <c r="CN4" s="2">
        <v>3</v>
      </c>
      <c r="CO4" s="2">
        <v>3</v>
      </c>
    </row>
    <row r="5" spans="1:94">
      <c r="A5">
        <v>156</v>
      </c>
      <c r="B5" t="s">
        <v>85</v>
      </c>
      <c r="C5" s="2">
        <v>13</v>
      </c>
      <c r="D5" s="2" t="s">
        <v>166</v>
      </c>
      <c r="E5">
        <v>97</v>
      </c>
      <c r="F5" s="2">
        <v>1</v>
      </c>
      <c r="G5" s="2">
        <v>0</v>
      </c>
      <c r="H5" s="2">
        <v>5</v>
      </c>
      <c r="I5" s="2">
        <f t="shared" si="0"/>
        <v>22</v>
      </c>
      <c r="J5" s="2">
        <f t="shared" si="1"/>
        <v>1</v>
      </c>
      <c r="K5" s="4">
        <v>1</v>
      </c>
      <c r="L5" s="2">
        <v>6</v>
      </c>
      <c r="M5" s="2">
        <v>0</v>
      </c>
      <c r="N5" s="2">
        <v>2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1</v>
      </c>
      <c r="AC5" s="2">
        <v>6</v>
      </c>
      <c r="AD5" s="2">
        <v>97</v>
      </c>
      <c r="AE5" s="2">
        <v>97</v>
      </c>
      <c r="AF5" s="2">
        <v>97</v>
      </c>
      <c r="AG5" s="2">
        <v>97</v>
      </c>
      <c r="AH5" s="2">
        <v>97</v>
      </c>
      <c r="AI5" s="2">
        <v>97</v>
      </c>
      <c r="AJ5" s="2">
        <v>97</v>
      </c>
      <c r="AK5" s="2">
        <v>97</v>
      </c>
      <c r="AL5" s="2">
        <v>97</v>
      </c>
      <c r="AM5" s="2">
        <v>97</v>
      </c>
      <c r="AN5" s="2">
        <v>97</v>
      </c>
      <c r="AO5" s="2">
        <v>97</v>
      </c>
      <c r="AP5" s="2">
        <v>1</v>
      </c>
      <c r="AQ5" s="2">
        <v>2</v>
      </c>
      <c r="AR5" s="2">
        <v>350</v>
      </c>
      <c r="AS5" s="2"/>
      <c r="AT5" s="2"/>
      <c r="AU5" s="2">
        <f t="shared" si="2"/>
        <v>350</v>
      </c>
      <c r="AV5" s="2">
        <f t="shared" si="3"/>
        <v>350</v>
      </c>
      <c r="AW5" s="1">
        <f t="shared" si="4"/>
        <v>63.636363636363633</v>
      </c>
      <c r="AX5" s="2">
        <v>70</v>
      </c>
      <c r="AY5" s="2"/>
      <c r="AZ5" s="2"/>
      <c r="BA5" s="2">
        <f t="shared" si="5"/>
        <v>70</v>
      </c>
      <c r="BB5" s="2">
        <f t="shared" si="6"/>
        <v>70</v>
      </c>
      <c r="BC5" s="2">
        <v>0</v>
      </c>
      <c r="BD5" s="2">
        <v>97</v>
      </c>
      <c r="BE5" s="2">
        <v>5</v>
      </c>
      <c r="BF5" s="4">
        <f t="shared" si="7"/>
        <v>5</v>
      </c>
      <c r="BG5" s="2">
        <v>1</v>
      </c>
      <c r="BH5" s="5">
        <f t="shared" si="8"/>
        <v>1</v>
      </c>
      <c r="BI5" s="2">
        <v>0</v>
      </c>
      <c r="BJ5" s="2">
        <v>4</v>
      </c>
      <c r="BK5" s="2">
        <v>0</v>
      </c>
      <c r="BL5" t="s">
        <v>83</v>
      </c>
      <c r="BM5" s="2">
        <f t="shared" si="9"/>
        <v>1</v>
      </c>
      <c r="BN5" s="2">
        <v>1</v>
      </c>
      <c r="BO5" s="2">
        <v>200</v>
      </c>
      <c r="BP5" s="2">
        <v>3</v>
      </c>
      <c r="BQ5" s="2">
        <v>97</v>
      </c>
      <c r="BR5" s="2">
        <v>1</v>
      </c>
      <c r="BS5" s="2">
        <v>0</v>
      </c>
      <c r="BT5" s="2">
        <v>97</v>
      </c>
      <c r="BU5" s="2">
        <v>1</v>
      </c>
      <c r="BV5" s="2">
        <v>1</v>
      </c>
      <c r="BW5" s="2">
        <v>1</v>
      </c>
      <c r="BX5" s="2">
        <v>1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 t="s">
        <v>142</v>
      </c>
      <c r="CL5" s="2">
        <v>97</v>
      </c>
      <c r="CM5" s="2">
        <v>98</v>
      </c>
      <c r="CN5" s="2">
        <v>6</v>
      </c>
      <c r="CO5" s="2">
        <v>4</v>
      </c>
    </row>
    <row r="6" spans="1:94">
      <c r="A6">
        <v>153</v>
      </c>
      <c r="B6" t="s">
        <v>91</v>
      </c>
      <c r="C6" s="2">
        <v>13</v>
      </c>
      <c r="D6" s="2" t="s">
        <v>166</v>
      </c>
      <c r="E6">
        <v>97</v>
      </c>
      <c r="F6" s="2">
        <v>0</v>
      </c>
      <c r="G6" s="2">
        <v>0</v>
      </c>
      <c r="H6" s="2">
        <v>8</v>
      </c>
      <c r="I6" s="2">
        <f t="shared" si="0"/>
        <v>2.0019999999999998</v>
      </c>
      <c r="J6" s="2">
        <f t="shared" si="1"/>
        <v>9.0999999999999984E-2</v>
      </c>
      <c r="K6" s="4">
        <v>9.0999999999999998E-2</v>
      </c>
      <c r="L6" s="2">
        <v>7</v>
      </c>
      <c r="M6" s="2">
        <v>0</v>
      </c>
      <c r="N6" s="2">
        <v>3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1</v>
      </c>
      <c r="AC6" s="2">
        <v>6</v>
      </c>
      <c r="AD6" s="2">
        <v>97</v>
      </c>
      <c r="AE6" s="2">
        <v>97</v>
      </c>
      <c r="AF6" s="2">
        <v>97</v>
      </c>
      <c r="AG6" s="2">
        <v>97</v>
      </c>
      <c r="AH6" s="2">
        <v>97</v>
      </c>
      <c r="AI6" s="2">
        <v>97</v>
      </c>
      <c r="AJ6" s="2">
        <v>97</v>
      </c>
      <c r="AK6" s="2">
        <v>97</v>
      </c>
      <c r="AL6" s="2">
        <v>97</v>
      </c>
      <c r="AM6" s="2">
        <v>97</v>
      </c>
      <c r="AN6" s="2">
        <v>97</v>
      </c>
      <c r="AO6" s="2">
        <v>97</v>
      </c>
      <c r="AP6" s="2">
        <v>1</v>
      </c>
      <c r="AQ6" s="2">
        <v>6</v>
      </c>
      <c r="AR6" s="2">
        <v>1</v>
      </c>
      <c r="AS6" s="2"/>
      <c r="AT6" s="2"/>
      <c r="AU6" s="2">
        <f t="shared" si="2"/>
        <v>1</v>
      </c>
      <c r="AV6" s="2">
        <f t="shared" si="3"/>
        <v>1</v>
      </c>
      <c r="AW6" s="1">
        <f t="shared" si="4"/>
        <v>0.18181818181818182</v>
      </c>
      <c r="AX6" s="2">
        <v>1</v>
      </c>
      <c r="AY6" s="2"/>
      <c r="AZ6" s="2"/>
      <c r="BA6" s="2">
        <f t="shared" si="5"/>
        <v>1</v>
      </c>
      <c r="BB6" s="2">
        <f t="shared" si="6"/>
        <v>1</v>
      </c>
      <c r="BC6" s="2">
        <v>0</v>
      </c>
      <c r="BD6" s="2">
        <v>1</v>
      </c>
      <c r="BE6" s="2">
        <v>1</v>
      </c>
      <c r="BF6" s="4">
        <f t="shared" si="7"/>
        <v>1</v>
      </c>
      <c r="BG6" s="2">
        <v>1</v>
      </c>
      <c r="BH6" s="5">
        <f t="shared" si="8"/>
        <v>9.0999999999999984E-2</v>
      </c>
      <c r="BI6" s="2">
        <v>0</v>
      </c>
      <c r="BJ6" s="2">
        <v>4</v>
      </c>
      <c r="BK6" s="2">
        <v>0</v>
      </c>
      <c r="BL6" t="s">
        <v>83</v>
      </c>
      <c r="BM6" s="2">
        <f t="shared" si="9"/>
        <v>1</v>
      </c>
      <c r="BN6" s="2">
        <v>1</v>
      </c>
      <c r="BO6" s="2">
        <v>40</v>
      </c>
      <c r="BP6" s="2">
        <v>3</v>
      </c>
      <c r="BQ6" s="2">
        <v>97</v>
      </c>
      <c r="BR6" s="2">
        <v>1</v>
      </c>
      <c r="BS6" s="2">
        <v>1</v>
      </c>
      <c r="BT6" s="2">
        <v>1</v>
      </c>
      <c r="BU6" s="2">
        <v>1</v>
      </c>
      <c r="BV6" s="2">
        <v>1</v>
      </c>
      <c r="BW6" s="2">
        <v>1</v>
      </c>
      <c r="BX6" s="2">
        <v>0</v>
      </c>
      <c r="BY6" s="2">
        <v>1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97</v>
      </c>
      <c r="CL6" s="2">
        <v>97</v>
      </c>
      <c r="CM6" s="2">
        <v>4</v>
      </c>
      <c r="CN6" s="2">
        <v>2</v>
      </c>
      <c r="CO6" s="2">
        <v>1</v>
      </c>
    </row>
    <row r="7" spans="1:94">
      <c r="A7">
        <v>152</v>
      </c>
      <c r="B7" t="s">
        <v>85</v>
      </c>
      <c r="C7" s="2">
        <v>7</v>
      </c>
      <c r="D7" s="2" t="s">
        <v>175</v>
      </c>
      <c r="E7" t="s">
        <v>94</v>
      </c>
      <c r="F7" s="2">
        <v>1</v>
      </c>
      <c r="G7" s="2">
        <v>0</v>
      </c>
      <c r="H7" s="2">
        <v>4</v>
      </c>
      <c r="I7" s="2">
        <f t="shared" si="0"/>
        <v>55</v>
      </c>
      <c r="J7" s="2">
        <f t="shared" si="1"/>
        <v>2.5</v>
      </c>
      <c r="K7" s="4">
        <v>1</v>
      </c>
      <c r="L7" s="2">
        <v>6</v>
      </c>
      <c r="M7" s="2">
        <v>1</v>
      </c>
      <c r="N7" s="2">
        <v>3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1</v>
      </c>
      <c r="AC7" s="2">
        <v>6</v>
      </c>
      <c r="AD7" s="2">
        <v>97</v>
      </c>
      <c r="AE7" s="2">
        <v>97</v>
      </c>
      <c r="AF7" s="2">
        <v>97</v>
      </c>
      <c r="AG7" s="2">
        <v>97</v>
      </c>
      <c r="AH7" s="2">
        <v>97</v>
      </c>
      <c r="AI7" s="2">
        <v>97</v>
      </c>
      <c r="AJ7" s="2">
        <v>97</v>
      </c>
      <c r="AK7" s="2">
        <v>97</v>
      </c>
      <c r="AL7" s="2">
        <v>97</v>
      </c>
      <c r="AM7" s="2">
        <v>97</v>
      </c>
      <c r="AN7" s="2">
        <v>97</v>
      </c>
      <c r="AO7" s="2">
        <v>97</v>
      </c>
      <c r="AP7" s="2">
        <v>1</v>
      </c>
      <c r="AQ7" s="2">
        <v>3</v>
      </c>
      <c r="AR7" s="2"/>
      <c r="AS7" s="2"/>
      <c r="AT7" s="2">
        <v>4</v>
      </c>
      <c r="AU7" s="2">
        <f t="shared" si="2"/>
        <v>1332</v>
      </c>
      <c r="AV7" s="2">
        <f t="shared" si="3"/>
        <v>1332</v>
      </c>
      <c r="AW7" s="1">
        <f t="shared" si="4"/>
        <v>242.18181818181819</v>
      </c>
      <c r="AX7" s="2"/>
      <c r="AY7" s="2"/>
      <c r="AZ7" s="2">
        <v>2</v>
      </c>
      <c r="BA7" s="2">
        <f t="shared" si="5"/>
        <v>666</v>
      </c>
      <c r="BB7" s="2">
        <f t="shared" si="6"/>
        <v>666</v>
      </c>
      <c r="BC7" s="2">
        <v>0</v>
      </c>
      <c r="BD7" s="2">
        <v>1</v>
      </c>
      <c r="BE7" s="2">
        <v>5</v>
      </c>
      <c r="BF7" s="4">
        <f t="shared" si="7"/>
        <v>5</v>
      </c>
      <c r="BG7" s="2">
        <v>1</v>
      </c>
      <c r="BH7" s="5">
        <f t="shared" si="8"/>
        <v>2.5</v>
      </c>
      <c r="BI7" s="2">
        <v>1</v>
      </c>
      <c r="BJ7" s="2">
        <v>5</v>
      </c>
      <c r="BK7" s="2">
        <v>0</v>
      </c>
      <c r="BL7" t="s">
        <v>83</v>
      </c>
      <c r="BM7" s="2">
        <f t="shared" si="9"/>
        <v>1</v>
      </c>
      <c r="BN7" s="2">
        <v>0</v>
      </c>
      <c r="BO7" s="2">
        <v>99997</v>
      </c>
      <c r="BP7" s="2">
        <v>3</v>
      </c>
      <c r="BQ7" s="2">
        <v>97</v>
      </c>
      <c r="BR7" s="2">
        <v>1</v>
      </c>
      <c r="BS7" s="2">
        <v>0</v>
      </c>
      <c r="BT7" s="2">
        <v>97</v>
      </c>
      <c r="BU7" s="2">
        <v>1</v>
      </c>
      <c r="BV7" s="2">
        <v>1</v>
      </c>
      <c r="BW7" s="2">
        <v>0</v>
      </c>
      <c r="BX7" s="2">
        <v>1</v>
      </c>
      <c r="BY7" s="2">
        <v>1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97</v>
      </c>
      <c r="CL7" s="2">
        <v>97</v>
      </c>
      <c r="CM7" s="2">
        <v>98</v>
      </c>
      <c r="CN7" s="2">
        <v>5</v>
      </c>
      <c r="CO7" s="2">
        <v>3</v>
      </c>
    </row>
    <row r="8" spans="1:94">
      <c r="A8">
        <v>151</v>
      </c>
      <c r="B8" t="s">
        <v>85</v>
      </c>
      <c r="C8" s="2">
        <v>13</v>
      </c>
      <c r="D8" s="2" t="s">
        <v>166</v>
      </c>
      <c r="E8" t="s">
        <v>141</v>
      </c>
      <c r="F8" s="2">
        <v>1</v>
      </c>
      <c r="G8" s="2">
        <v>0</v>
      </c>
      <c r="H8" s="2">
        <v>7</v>
      </c>
      <c r="I8" s="2">
        <f t="shared" si="0"/>
        <v>6.6</v>
      </c>
      <c r="J8" s="2">
        <f t="shared" si="1"/>
        <v>0.3</v>
      </c>
      <c r="K8" s="4">
        <v>0.3</v>
      </c>
      <c r="L8" s="2">
        <v>6</v>
      </c>
      <c r="M8" s="2">
        <v>0</v>
      </c>
      <c r="N8" s="2">
        <v>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1</v>
      </c>
      <c r="AC8" s="2">
        <v>6</v>
      </c>
      <c r="AD8" s="2">
        <v>97</v>
      </c>
      <c r="AE8" s="2">
        <v>97</v>
      </c>
      <c r="AF8" s="2">
        <v>97</v>
      </c>
      <c r="AG8" s="2">
        <v>97</v>
      </c>
      <c r="AH8" s="2">
        <v>97</v>
      </c>
      <c r="AI8" s="2">
        <v>97</v>
      </c>
      <c r="AJ8" s="2">
        <v>97</v>
      </c>
      <c r="AK8" s="2">
        <v>97</v>
      </c>
      <c r="AL8" s="2">
        <v>97</v>
      </c>
      <c r="AM8" s="2">
        <v>97</v>
      </c>
      <c r="AN8" s="2">
        <v>97</v>
      </c>
      <c r="AO8" s="2">
        <v>97</v>
      </c>
      <c r="AP8" s="2">
        <v>1</v>
      </c>
      <c r="AQ8" s="2">
        <v>3</v>
      </c>
      <c r="AR8" s="2"/>
      <c r="AS8" s="2"/>
      <c r="AT8" s="2">
        <v>2</v>
      </c>
      <c r="AU8" s="2">
        <f t="shared" si="2"/>
        <v>666</v>
      </c>
      <c r="AV8" s="2">
        <f t="shared" si="3"/>
        <v>666</v>
      </c>
      <c r="AW8" s="1">
        <f t="shared" si="4"/>
        <v>121.09090909090909</v>
      </c>
      <c r="AX8" s="2"/>
      <c r="AY8" s="2"/>
      <c r="AZ8" s="2">
        <v>1</v>
      </c>
      <c r="BA8" s="2">
        <f t="shared" si="5"/>
        <v>333</v>
      </c>
      <c r="BB8" s="2">
        <f t="shared" si="6"/>
        <v>333</v>
      </c>
      <c r="BC8" s="2">
        <v>0</v>
      </c>
      <c r="BD8" s="2">
        <v>1</v>
      </c>
      <c r="BE8" s="2">
        <v>2</v>
      </c>
      <c r="BF8" s="4">
        <f t="shared" si="7"/>
        <v>2</v>
      </c>
      <c r="BG8" s="2">
        <v>1</v>
      </c>
      <c r="BH8" s="5">
        <f t="shared" si="8"/>
        <v>0.3</v>
      </c>
      <c r="BI8" s="2">
        <v>0</v>
      </c>
      <c r="BJ8" s="2">
        <v>5</v>
      </c>
      <c r="BK8" s="2">
        <v>1</v>
      </c>
      <c r="BL8" s="3">
        <v>97</v>
      </c>
      <c r="BM8" s="2">
        <f t="shared" si="9"/>
        <v>0</v>
      </c>
      <c r="BN8" s="2">
        <v>0</v>
      </c>
      <c r="BO8" s="2">
        <v>99997</v>
      </c>
      <c r="BP8" s="2">
        <v>1</v>
      </c>
      <c r="BQ8" s="2">
        <v>97</v>
      </c>
      <c r="BR8" s="2">
        <v>1</v>
      </c>
      <c r="BS8" s="2">
        <v>0</v>
      </c>
      <c r="BT8" s="2">
        <v>97</v>
      </c>
      <c r="BU8" s="2">
        <v>1</v>
      </c>
      <c r="BV8" s="2">
        <v>1</v>
      </c>
      <c r="BW8" s="2">
        <v>1</v>
      </c>
      <c r="BX8" s="2">
        <v>0</v>
      </c>
      <c r="BY8" s="2">
        <v>1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>
        <v>0</v>
      </c>
      <c r="CJ8" s="2">
        <v>0</v>
      </c>
      <c r="CK8" s="2">
        <v>97</v>
      </c>
      <c r="CL8" s="2">
        <v>97</v>
      </c>
      <c r="CM8" s="2">
        <v>98</v>
      </c>
      <c r="CN8" s="2">
        <v>7</v>
      </c>
      <c r="CO8" s="2">
        <v>7</v>
      </c>
    </row>
    <row r="9" spans="1:94">
      <c r="A9">
        <v>150</v>
      </c>
      <c r="B9" t="s">
        <v>91</v>
      </c>
      <c r="C9" s="2">
        <v>13</v>
      </c>
      <c r="D9" s="2" t="s">
        <v>166</v>
      </c>
      <c r="E9">
        <v>97</v>
      </c>
      <c r="F9" s="2">
        <v>0</v>
      </c>
      <c r="G9" s="2">
        <v>0</v>
      </c>
      <c r="H9" s="2">
        <v>5</v>
      </c>
      <c r="I9" s="2">
        <f t="shared" si="0"/>
        <v>22</v>
      </c>
      <c r="J9" s="2">
        <f t="shared" si="1"/>
        <v>1</v>
      </c>
      <c r="K9" s="4">
        <v>1</v>
      </c>
      <c r="L9" s="2">
        <v>6</v>
      </c>
      <c r="M9" s="2">
        <v>0</v>
      </c>
      <c r="N9" s="2">
        <v>3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5</v>
      </c>
      <c r="AD9" s="2">
        <v>97</v>
      </c>
      <c r="AE9" s="2">
        <v>97</v>
      </c>
      <c r="AF9" s="2">
        <v>97</v>
      </c>
      <c r="AG9" s="2">
        <v>97</v>
      </c>
      <c r="AH9" s="2">
        <v>97</v>
      </c>
      <c r="AI9" s="2">
        <v>97</v>
      </c>
      <c r="AJ9" s="2">
        <v>97</v>
      </c>
      <c r="AK9" s="2">
        <v>97</v>
      </c>
      <c r="AL9" s="2">
        <v>97</v>
      </c>
      <c r="AM9" s="2">
        <v>97</v>
      </c>
      <c r="AN9" s="2">
        <v>97</v>
      </c>
      <c r="AO9" s="2">
        <v>97</v>
      </c>
      <c r="AP9" s="2">
        <v>1</v>
      </c>
      <c r="AQ9" s="2">
        <v>6</v>
      </c>
      <c r="AR9" s="2"/>
      <c r="AS9" s="2">
        <v>1</v>
      </c>
      <c r="AT9" s="2"/>
      <c r="AU9" s="2">
        <f t="shared" si="2"/>
        <v>333</v>
      </c>
      <c r="AV9" s="2">
        <f t="shared" si="3"/>
        <v>333</v>
      </c>
      <c r="AW9" s="1">
        <f t="shared" si="4"/>
        <v>60.545454545454547</v>
      </c>
      <c r="AX9" s="2">
        <v>10</v>
      </c>
      <c r="AY9" s="2"/>
      <c r="AZ9" s="2"/>
      <c r="BA9" s="2">
        <f t="shared" si="5"/>
        <v>10</v>
      </c>
      <c r="BB9" s="2">
        <f t="shared" si="6"/>
        <v>10</v>
      </c>
      <c r="BC9" s="2">
        <v>1</v>
      </c>
      <c r="BD9" s="2">
        <v>1</v>
      </c>
      <c r="BE9" s="2">
        <v>7</v>
      </c>
      <c r="BF9" s="4">
        <f t="shared" si="7"/>
        <v>7</v>
      </c>
      <c r="BG9" s="2">
        <v>1</v>
      </c>
      <c r="BH9" s="5">
        <f t="shared" si="8"/>
        <v>1</v>
      </c>
      <c r="BI9" s="2">
        <v>0</v>
      </c>
      <c r="BJ9" s="2">
        <v>5</v>
      </c>
      <c r="BK9" s="2">
        <v>0</v>
      </c>
      <c r="BL9" t="s">
        <v>83</v>
      </c>
      <c r="BM9" s="2">
        <f t="shared" si="9"/>
        <v>1</v>
      </c>
      <c r="BN9" s="2">
        <v>1</v>
      </c>
      <c r="BO9" s="2">
        <v>100</v>
      </c>
      <c r="BP9" s="2">
        <v>1</v>
      </c>
      <c r="BQ9" s="2">
        <v>97</v>
      </c>
      <c r="BR9" s="2">
        <v>1</v>
      </c>
      <c r="BS9" s="2">
        <v>0</v>
      </c>
      <c r="BT9" s="2">
        <v>97</v>
      </c>
      <c r="BU9" s="2">
        <v>1</v>
      </c>
      <c r="BV9" s="2">
        <v>1</v>
      </c>
      <c r="BW9" s="2">
        <v>0</v>
      </c>
      <c r="BX9" s="2">
        <v>1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97</v>
      </c>
      <c r="CL9" s="2">
        <v>97</v>
      </c>
      <c r="CM9" s="2">
        <v>4</v>
      </c>
      <c r="CN9" s="2">
        <v>99</v>
      </c>
      <c r="CO9" s="2">
        <v>99</v>
      </c>
    </row>
    <row r="10" spans="1:94">
      <c r="A10">
        <v>149</v>
      </c>
      <c r="B10" t="s">
        <v>85</v>
      </c>
      <c r="C10" s="2">
        <v>7</v>
      </c>
      <c r="D10" s="2" t="s">
        <v>175</v>
      </c>
      <c r="E10">
        <v>97</v>
      </c>
      <c r="F10" s="2">
        <v>0</v>
      </c>
      <c r="G10" s="2">
        <v>0</v>
      </c>
      <c r="H10" s="2">
        <v>4</v>
      </c>
      <c r="I10" s="2">
        <f t="shared" si="0"/>
        <v>55</v>
      </c>
      <c r="J10" s="2">
        <f t="shared" si="1"/>
        <v>2.5</v>
      </c>
      <c r="K10" s="4">
        <v>1</v>
      </c>
      <c r="L10" s="2">
        <v>4</v>
      </c>
      <c r="M10" s="2">
        <v>0</v>
      </c>
      <c r="N10" s="2">
        <v>2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5</v>
      </c>
      <c r="AD10" s="2">
        <v>0</v>
      </c>
      <c r="AE10" s="2">
        <v>0</v>
      </c>
      <c r="AF10" s="2">
        <v>0</v>
      </c>
      <c r="AG10" s="2">
        <v>0</v>
      </c>
      <c r="AH10" s="2">
        <v>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3</v>
      </c>
      <c r="AR10" s="2">
        <v>300</v>
      </c>
      <c r="AS10" s="2"/>
      <c r="AT10" s="2"/>
      <c r="AU10" s="2">
        <f t="shared" si="2"/>
        <v>300</v>
      </c>
      <c r="AV10" s="2">
        <f t="shared" si="3"/>
        <v>300</v>
      </c>
      <c r="AW10" s="1">
        <f t="shared" si="4"/>
        <v>54.545454545454547</v>
      </c>
      <c r="AX10" s="2">
        <v>40</v>
      </c>
      <c r="AY10" s="2"/>
      <c r="AZ10" s="2"/>
      <c r="BA10" s="2">
        <f t="shared" si="5"/>
        <v>40</v>
      </c>
      <c r="BB10" s="2">
        <f t="shared" si="6"/>
        <v>40</v>
      </c>
      <c r="BC10" s="2">
        <v>0</v>
      </c>
      <c r="BD10" s="2">
        <v>1</v>
      </c>
      <c r="BE10" s="2">
        <v>10</v>
      </c>
      <c r="BF10" s="4">
        <f t="shared" si="7"/>
        <v>10</v>
      </c>
      <c r="BG10" s="2">
        <v>2</v>
      </c>
      <c r="BH10" s="5">
        <f t="shared" si="8"/>
        <v>5</v>
      </c>
      <c r="BI10" s="2">
        <v>1</v>
      </c>
      <c r="BJ10" s="2">
        <v>4</v>
      </c>
      <c r="BK10" s="2">
        <v>0</v>
      </c>
      <c r="BL10" t="s">
        <v>83</v>
      </c>
      <c r="BM10" s="2">
        <f t="shared" si="9"/>
        <v>1</v>
      </c>
      <c r="BN10" s="2">
        <v>0</v>
      </c>
      <c r="BO10" s="2">
        <v>99997</v>
      </c>
      <c r="BP10" s="2">
        <v>1</v>
      </c>
      <c r="BQ10" s="2">
        <v>97</v>
      </c>
      <c r="BR10" s="2">
        <v>1</v>
      </c>
      <c r="BS10" s="2">
        <v>0</v>
      </c>
      <c r="BT10" s="2">
        <v>97</v>
      </c>
      <c r="BU10" s="2">
        <v>1</v>
      </c>
      <c r="BV10" s="2">
        <v>1</v>
      </c>
      <c r="BW10" s="2">
        <v>1</v>
      </c>
      <c r="BX10" s="2">
        <v>1</v>
      </c>
      <c r="BY10" s="2">
        <v>1</v>
      </c>
      <c r="BZ10" s="2">
        <v>0</v>
      </c>
      <c r="CA10" s="2">
        <v>0</v>
      </c>
      <c r="CB10" s="2">
        <v>1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97</v>
      </c>
      <c r="CL10" s="2">
        <v>97</v>
      </c>
      <c r="CM10" s="2">
        <v>98</v>
      </c>
      <c r="CN10" s="2">
        <v>6</v>
      </c>
      <c r="CO10" s="2">
        <v>5</v>
      </c>
    </row>
    <row r="11" spans="1:94">
      <c r="A11">
        <v>148</v>
      </c>
      <c r="B11" t="s">
        <v>85</v>
      </c>
      <c r="C11" s="2">
        <v>97</v>
      </c>
      <c r="D11" s="2" t="s">
        <v>168</v>
      </c>
      <c r="E11" t="s">
        <v>139</v>
      </c>
      <c r="F11" s="2">
        <v>1</v>
      </c>
      <c r="G11" s="2">
        <v>1</v>
      </c>
      <c r="H11" s="2">
        <v>4</v>
      </c>
      <c r="I11" s="2">
        <f t="shared" si="0"/>
        <v>55</v>
      </c>
      <c r="J11" s="2">
        <f t="shared" si="1"/>
        <v>2.5</v>
      </c>
      <c r="K11" s="4">
        <v>1</v>
      </c>
      <c r="L11" s="2">
        <v>6</v>
      </c>
      <c r="M11" s="2">
        <v>1</v>
      </c>
      <c r="N11" s="2">
        <v>3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  <c r="U11" s="2">
        <v>1</v>
      </c>
      <c r="V11" s="2">
        <v>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5</v>
      </c>
      <c r="AD11" s="2">
        <v>97</v>
      </c>
      <c r="AE11" s="2">
        <v>97</v>
      </c>
      <c r="AF11" s="2">
        <v>97</v>
      </c>
      <c r="AG11" s="2">
        <v>97</v>
      </c>
      <c r="AH11" s="2">
        <v>97</v>
      </c>
      <c r="AI11" s="2">
        <v>97</v>
      </c>
      <c r="AJ11" s="2">
        <v>97</v>
      </c>
      <c r="AK11" s="2">
        <v>97</v>
      </c>
      <c r="AL11" s="2">
        <v>97</v>
      </c>
      <c r="AM11" s="2">
        <v>97</v>
      </c>
      <c r="AN11" s="2">
        <v>97</v>
      </c>
      <c r="AO11" s="2">
        <v>97</v>
      </c>
      <c r="AP11" s="2">
        <v>1</v>
      </c>
      <c r="AQ11" s="2">
        <v>4</v>
      </c>
      <c r="AR11" s="2"/>
      <c r="AS11" s="2">
        <v>10</v>
      </c>
      <c r="AT11" s="2"/>
      <c r="AU11" s="2">
        <f t="shared" si="2"/>
        <v>3330</v>
      </c>
      <c r="AV11" s="2">
        <f t="shared" si="3"/>
        <v>3330</v>
      </c>
      <c r="AW11" s="1">
        <f t="shared" si="4"/>
        <v>605.4545454545455</v>
      </c>
      <c r="AX11" s="2"/>
      <c r="AY11" s="2">
        <v>2</v>
      </c>
      <c r="AZ11" s="2"/>
      <c r="BA11" s="2">
        <f t="shared" si="5"/>
        <v>666</v>
      </c>
      <c r="BB11" s="2">
        <f t="shared" si="6"/>
        <v>666</v>
      </c>
      <c r="BC11" s="2">
        <v>1</v>
      </c>
      <c r="BD11" s="2">
        <v>98</v>
      </c>
      <c r="BE11" s="2">
        <v>12</v>
      </c>
      <c r="BF11" s="4">
        <f t="shared" si="7"/>
        <v>12</v>
      </c>
      <c r="BG11" s="2">
        <v>2</v>
      </c>
      <c r="BH11" s="5">
        <f t="shared" si="8"/>
        <v>5</v>
      </c>
      <c r="BI11" s="2">
        <v>0</v>
      </c>
      <c r="BJ11" s="2">
        <v>5</v>
      </c>
      <c r="BK11" s="2">
        <v>0</v>
      </c>
      <c r="BL11" t="s">
        <v>83</v>
      </c>
      <c r="BM11" s="2">
        <f t="shared" si="9"/>
        <v>1</v>
      </c>
      <c r="BN11" s="2">
        <v>1</v>
      </c>
      <c r="BO11" s="2">
        <v>100</v>
      </c>
      <c r="BP11" s="2">
        <v>97</v>
      </c>
      <c r="BQ11" s="2" t="s">
        <v>107</v>
      </c>
      <c r="BR11" s="2">
        <v>1</v>
      </c>
      <c r="BS11" s="2">
        <v>0</v>
      </c>
      <c r="BT11" s="2">
        <v>97</v>
      </c>
      <c r="BU11" s="2">
        <v>1</v>
      </c>
      <c r="BV11" s="2">
        <v>1</v>
      </c>
      <c r="BW11" s="2">
        <v>1</v>
      </c>
      <c r="BX11" s="2">
        <v>1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 t="s">
        <v>140</v>
      </c>
      <c r="CL11" s="2">
        <v>97</v>
      </c>
      <c r="CM11" s="2">
        <v>98</v>
      </c>
      <c r="CN11" s="2">
        <v>6</v>
      </c>
      <c r="CO11" s="2">
        <v>2</v>
      </c>
    </row>
    <row r="12" spans="1:94">
      <c r="A12">
        <v>145</v>
      </c>
      <c r="B12" t="s">
        <v>91</v>
      </c>
      <c r="C12" s="2">
        <v>18</v>
      </c>
      <c r="D12" s="2" t="s">
        <v>173</v>
      </c>
      <c r="E12" t="s">
        <v>138</v>
      </c>
      <c r="F12" s="2">
        <v>1</v>
      </c>
      <c r="G12" s="2">
        <v>1</v>
      </c>
      <c r="H12" s="2">
        <v>8</v>
      </c>
      <c r="I12" s="2">
        <f t="shared" si="0"/>
        <v>2.0019999999999998</v>
      </c>
      <c r="J12" s="2">
        <f t="shared" si="1"/>
        <v>9.0999999999999984E-2</v>
      </c>
      <c r="K12" s="4">
        <v>9.0999999999999998E-2</v>
      </c>
      <c r="L12" s="2">
        <v>5</v>
      </c>
      <c r="M12" s="2">
        <v>0</v>
      </c>
      <c r="N12" s="2">
        <v>3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6</v>
      </c>
      <c r="AD12" s="2">
        <v>97</v>
      </c>
      <c r="AE12" s="2">
        <v>97</v>
      </c>
      <c r="AF12" s="2">
        <v>97</v>
      </c>
      <c r="AG12" s="2">
        <v>97</v>
      </c>
      <c r="AH12" s="2">
        <v>97</v>
      </c>
      <c r="AI12" s="2">
        <v>97</v>
      </c>
      <c r="AJ12" s="2">
        <v>97</v>
      </c>
      <c r="AK12" s="2">
        <v>97</v>
      </c>
      <c r="AL12" s="2">
        <v>97</v>
      </c>
      <c r="AM12" s="2">
        <v>97</v>
      </c>
      <c r="AN12" s="2">
        <v>97</v>
      </c>
      <c r="AO12" s="2">
        <v>97</v>
      </c>
      <c r="AP12" s="2">
        <v>1</v>
      </c>
      <c r="AQ12" s="2">
        <v>5</v>
      </c>
      <c r="AR12" s="2"/>
      <c r="AS12" s="2">
        <v>2</v>
      </c>
      <c r="AT12" s="2"/>
      <c r="AU12" s="2">
        <f t="shared" si="2"/>
        <v>666</v>
      </c>
      <c r="AV12" s="2">
        <f t="shared" si="3"/>
        <v>666</v>
      </c>
      <c r="AW12" s="1">
        <f t="shared" si="4"/>
        <v>121.09090909090909</v>
      </c>
      <c r="AX12" s="2"/>
      <c r="AY12" s="2">
        <v>1</v>
      </c>
      <c r="AZ12" s="2"/>
      <c r="BA12" s="2">
        <f t="shared" si="5"/>
        <v>333</v>
      </c>
      <c r="BB12" s="2">
        <f t="shared" si="6"/>
        <v>333</v>
      </c>
      <c r="BC12" s="2">
        <v>0</v>
      </c>
      <c r="BD12" s="2">
        <v>1</v>
      </c>
      <c r="BE12" s="2">
        <v>1</v>
      </c>
      <c r="BF12" s="4">
        <f t="shared" si="7"/>
        <v>1</v>
      </c>
      <c r="BG12" s="2">
        <v>1</v>
      </c>
      <c r="BH12" s="5">
        <f t="shared" si="8"/>
        <v>9.0999999999999984E-2</v>
      </c>
      <c r="BI12" s="2">
        <v>1</v>
      </c>
      <c r="BJ12" s="2">
        <v>3</v>
      </c>
      <c r="BK12" s="2">
        <v>0</v>
      </c>
      <c r="BL12" t="s">
        <v>83</v>
      </c>
      <c r="BM12" s="2">
        <f t="shared" si="9"/>
        <v>1</v>
      </c>
      <c r="BN12" s="2">
        <v>0</v>
      </c>
      <c r="BO12" s="2">
        <v>99997</v>
      </c>
      <c r="BP12" s="2">
        <v>1</v>
      </c>
      <c r="BQ12" s="2">
        <v>97</v>
      </c>
      <c r="BR12" s="2">
        <v>1</v>
      </c>
      <c r="BS12" s="2">
        <v>0</v>
      </c>
      <c r="BT12" s="2">
        <v>97</v>
      </c>
      <c r="BU12" s="2">
        <v>1</v>
      </c>
      <c r="BV12" s="2">
        <v>1</v>
      </c>
      <c r="BW12" s="2">
        <v>1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97</v>
      </c>
      <c r="CL12" s="2">
        <v>97</v>
      </c>
      <c r="CM12" s="2">
        <v>4</v>
      </c>
      <c r="CN12" s="2">
        <v>5</v>
      </c>
      <c r="CO12" s="2">
        <v>2</v>
      </c>
    </row>
    <row r="13" spans="1:94">
      <c r="A13">
        <v>144</v>
      </c>
      <c r="B13" t="s">
        <v>85</v>
      </c>
      <c r="C13" s="2">
        <v>97</v>
      </c>
      <c r="D13" s="2" t="s">
        <v>168</v>
      </c>
      <c r="E13" t="s">
        <v>137</v>
      </c>
      <c r="F13" s="2">
        <v>1</v>
      </c>
      <c r="G13" s="2">
        <v>0</v>
      </c>
      <c r="H13" s="2">
        <v>8</v>
      </c>
      <c r="I13" s="2">
        <f t="shared" si="0"/>
        <v>2.0019999999999998</v>
      </c>
      <c r="J13" s="2">
        <f t="shared" si="1"/>
        <v>9.0999999999999984E-2</v>
      </c>
      <c r="K13" s="4">
        <v>9.0999999999999998E-2</v>
      </c>
      <c r="L13" s="2">
        <v>6</v>
      </c>
      <c r="M13" s="2">
        <v>0</v>
      </c>
      <c r="N13" s="2">
        <v>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1</v>
      </c>
      <c r="AC13" s="2">
        <v>6</v>
      </c>
      <c r="AD13" s="2">
        <v>97</v>
      </c>
      <c r="AE13" s="2">
        <v>97</v>
      </c>
      <c r="AF13" s="2">
        <v>97</v>
      </c>
      <c r="AG13" s="2">
        <v>97</v>
      </c>
      <c r="AH13" s="2">
        <v>97</v>
      </c>
      <c r="AI13" s="2">
        <v>97</v>
      </c>
      <c r="AJ13" s="2">
        <v>97</v>
      </c>
      <c r="AK13" s="2">
        <v>97</v>
      </c>
      <c r="AL13" s="2">
        <v>97</v>
      </c>
      <c r="AM13" s="2">
        <v>97</v>
      </c>
      <c r="AN13" s="2">
        <v>97</v>
      </c>
      <c r="AO13" s="2">
        <v>97</v>
      </c>
      <c r="AP13" s="2">
        <v>1</v>
      </c>
      <c r="AQ13" s="2">
        <v>6</v>
      </c>
      <c r="AR13" s="2"/>
      <c r="AS13" s="2"/>
      <c r="AT13" s="2">
        <v>1</v>
      </c>
      <c r="AU13" s="2">
        <f t="shared" si="2"/>
        <v>333</v>
      </c>
      <c r="AV13" s="2">
        <f t="shared" si="3"/>
        <v>333</v>
      </c>
      <c r="AW13" s="1">
        <f t="shared" si="4"/>
        <v>60.545454545454547</v>
      </c>
      <c r="AX13" s="2"/>
      <c r="AY13" s="2"/>
      <c r="AZ13" s="2">
        <v>1</v>
      </c>
      <c r="BA13" s="2">
        <f t="shared" si="5"/>
        <v>333</v>
      </c>
      <c r="BB13" s="2">
        <f t="shared" si="6"/>
        <v>333</v>
      </c>
      <c r="BC13" s="2">
        <v>0</v>
      </c>
      <c r="BD13" s="2">
        <v>1</v>
      </c>
      <c r="BE13" s="2">
        <v>1</v>
      </c>
      <c r="BF13" s="4">
        <f t="shared" si="7"/>
        <v>1</v>
      </c>
      <c r="BG13" s="2">
        <v>1</v>
      </c>
      <c r="BH13" s="5">
        <f t="shared" si="8"/>
        <v>9.0999999999999984E-2</v>
      </c>
      <c r="BI13" s="2">
        <v>0</v>
      </c>
      <c r="BJ13" s="2">
        <v>5</v>
      </c>
      <c r="BK13" s="2">
        <v>0</v>
      </c>
      <c r="BL13" t="s">
        <v>83</v>
      </c>
      <c r="BM13" s="2">
        <f t="shared" si="9"/>
        <v>1</v>
      </c>
      <c r="BN13" s="2">
        <v>1</v>
      </c>
      <c r="BO13" s="2">
        <v>10</v>
      </c>
      <c r="BP13" s="2">
        <v>1</v>
      </c>
      <c r="BQ13" s="2">
        <v>97</v>
      </c>
      <c r="BR13" s="2">
        <v>1</v>
      </c>
      <c r="BS13" s="2">
        <v>0</v>
      </c>
      <c r="BT13" s="2">
        <v>97</v>
      </c>
      <c r="BU13" s="2">
        <v>1</v>
      </c>
      <c r="BV13" s="2">
        <v>1</v>
      </c>
      <c r="BW13" s="2">
        <v>0</v>
      </c>
      <c r="BX13" s="2">
        <v>1</v>
      </c>
      <c r="BY13" s="2">
        <v>0</v>
      </c>
      <c r="BZ13" s="2">
        <v>0</v>
      </c>
      <c r="CA13" s="2">
        <v>0</v>
      </c>
      <c r="CB13" s="2">
        <v>1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97</v>
      </c>
      <c r="CL13" s="2">
        <v>97</v>
      </c>
      <c r="CM13" s="2">
        <v>98</v>
      </c>
      <c r="CN13" s="2">
        <v>2</v>
      </c>
      <c r="CO13" s="2">
        <v>1</v>
      </c>
    </row>
    <row r="14" spans="1:94">
      <c r="A14">
        <v>143</v>
      </c>
      <c r="B14" t="s">
        <v>85</v>
      </c>
      <c r="C14" s="2">
        <v>7</v>
      </c>
      <c r="D14" s="2" t="s">
        <v>175</v>
      </c>
      <c r="E14">
        <v>97</v>
      </c>
      <c r="F14" s="2">
        <v>1</v>
      </c>
      <c r="G14" s="2">
        <v>1</v>
      </c>
      <c r="H14" s="2">
        <v>5</v>
      </c>
      <c r="I14" s="2">
        <f t="shared" si="0"/>
        <v>22</v>
      </c>
      <c r="J14" s="2">
        <f t="shared" si="1"/>
        <v>1</v>
      </c>
      <c r="K14" s="4">
        <v>1</v>
      </c>
      <c r="L14" s="2">
        <v>6</v>
      </c>
      <c r="M14" s="2">
        <v>1</v>
      </c>
      <c r="N14" s="2">
        <v>3</v>
      </c>
      <c r="O14" s="2">
        <v>0</v>
      </c>
      <c r="P14" s="2">
        <v>0</v>
      </c>
      <c r="Q14" s="2">
        <v>0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6</v>
      </c>
      <c r="AD14" s="2">
        <v>97</v>
      </c>
      <c r="AE14" s="2">
        <v>97</v>
      </c>
      <c r="AF14" s="2">
        <v>97</v>
      </c>
      <c r="AG14" s="2">
        <v>97</v>
      </c>
      <c r="AH14" s="2">
        <v>97</v>
      </c>
      <c r="AI14" s="2">
        <v>97</v>
      </c>
      <c r="AJ14" s="2">
        <v>97</v>
      </c>
      <c r="AK14" s="2">
        <v>97</v>
      </c>
      <c r="AL14" s="2">
        <v>97</v>
      </c>
      <c r="AM14" s="2">
        <v>97</v>
      </c>
      <c r="AN14" s="2">
        <v>97</v>
      </c>
      <c r="AO14" s="2">
        <v>97</v>
      </c>
      <c r="AP14" s="2">
        <v>1</v>
      </c>
      <c r="AQ14" s="2">
        <v>5</v>
      </c>
      <c r="AR14" s="2">
        <v>400</v>
      </c>
      <c r="AS14" s="2"/>
      <c r="AT14" s="2"/>
      <c r="AU14" s="2">
        <f t="shared" si="2"/>
        <v>400</v>
      </c>
      <c r="AV14" s="2">
        <f t="shared" si="3"/>
        <v>400</v>
      </c>
      <c r="AW14" s="1">
        <f t="shared" si="4"/>
        <v>72.727272727272734</v>
      </c>
      <c r="AX14" s="2">
        <v>60</v>
      </c>
      <c r="AY14" s="2"/>
      <c r="AZ14" s="2"/>
      <c r="BA14" s="2">
        <f t="shared" si="5"/>
        <v>60</v>
      </c>
      <c r="BB14" s="2">
        <f t="shared" si="6"/>
        <v>60</v>
      </c>
      <c r="BC14" s="2">
        <v>0</v>
      </c>
      <c r="BD14" s="2">
        <v>1</v>
      </c>
      <c r="BE14" s="2">
        <v>5</v>
      </c>
      <c r="BF14" s="4">
        <f t="shared" si="7"/>
        <v>5</v>
      </c>
      <c r="BG14" s="2">
        <v>1</v>
      </c>
      <c r="BH14" s="5">
        <f t="shared" si="8"/>
        <v>1</v>
      </c>
      <c r="BI14" s="2">
        <v>0</v>
      </c>
      <c r="BJ14" s="2">
        <v>4</v>
      </c>
      <c r="BK14" s="2">
        <v>0</v>
      </c>
      <c r="BL14" t="s">
        <v>83</v>
      </c>
      <c r="BM14" s="2">
        <f t="shared" si="9"/>
        <v>1</v>
      </c>
      <c r="BN14" s="2">
        <v>0</v>
      </c>
      <c r="BO14" s="2">
        <v>99997</v>
      </c>
      <c r="BP14" s="2">
        <v>1</v>
      </c>
      <c r="BQ14" s="2">
        <v>97</v>
      </c>
      <c r="BR14" s="2">
        <v>1</v>
      </c>
      <c r="BS14" s="2">
        <v>0</v>
      </c>
      <c r="BT14" s="2">
        <v>97</v>
      </c>
      <c r="BU14" s="2">
        <v>1</v>
      </c>
      <c r="BV14" s="2">
        <v>0</v>
      </c>
      <c r="BW14" s="2">
        <v>1</v>
      </c>
      <c r="BX14" s="2">
        <v>0</v>
      </c>
      <c r="BY14" s="2">
        <v>1</v>
      </c>
      <c r="BZ14" s="2">
        <v>0</v>
      </c>
      <c r="CA14" s="2">
        <v>0</v>
      </c>
      <c r="CB14" s="2">
        <v>0</v>
      </c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>
        <v>0</v>
      </c>
      <c r="CJ14" s="2">
        <v>0</v>
      </c>
      <c r="CK14" s="2">
        <v>97</v>
      </c>
      <c r="CL14" s="2">
        <v>97</v>
      </c>
      <c r="CM14" s="2">
        <v>98</v>
      </c>
      <c r="CN14" s="2">
        <v>6</v>
      </c>
      <c r="CO14" s="2">
        <v>4</v>
      </c>
    </row>
    <row r="15" spans="1:94">
      <c r="A15">
        <v>142</v>
      </c>
      <c r="B15" t="s">
        <v>91</v>
      </c>
      <c r="C15" s="2">
        <v>18</v>
      </c>
      <c r="D15" s="2" t="s">
        <v>173</v>
      </c>
      <c r="E15">
        <v>97</v>
      </c>
      <c r="F15" s="2">
        <v>0</v>
      </c>
      <c r="G15" s="2">
        <v>0</v>
      </c>
      <c r="H15" s="2">
        <v>7</v>
      </c>
      <c r="I15" s="2">
        <f t="shared" si="0"/>
        <v>6.6</v>
      </c>
      <c r="J15" s="2">
        <f t="shared" si="1"/>
        <v>0.3</v>
      </c>
      <c r="K15" s="4">
        <v>0.3</v>
      </c>
      <c r="L15" s="2">
        <v>5</v>
      </c>
      <c r="M15" s="2">
        <v>0</v>
      </c>
      <c r="N15" s="2">
        <v>3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6</v>
      </c>
      <c r="AD15" s="2">
        <v>97</v>
      </c>
      <c r="AE15" s="2">
        <v>97</v>
      </c>
      <c r="AF15" s="2">
        <v>97</v>
      </c>
      <c r="AG15" s="2">
        <v>97</v>
      </c>
      <c r="AH15" s="2">
        <v>97</v>
      </c>
      <c r="AI15" s="2">
        <v>97</v>
      </c>
      <c r="AJ15" s="2">
        <v>97</v>
      </c>
      <c r="AK15" s="2">
        <v>97</v>
      </c>
      <c r="AL15" s="2">
        <v>97</v>
      </c>
      <c r="AM15" s="2">
        <v>97</v>
      </c>
      <c r="AN15" s="2">
        <v>97</v>
      </c>
      <c r="AO15" s="2">
        <v>97</v>
      </c>
      <c r="AP15" s="2">
        <v>1</v>
      </c>
      <c r="AQ15" s="2">
        <v>6</v>
      </c>
      <c r="AR15" s="2"/>
      <c r="AS15" s="2"/>
      <c r="AT15" s="2">
        <v>2</v>
      </c>
      <c r="AU15" s="2">
        <f t="shared" si="2"/>
        <v>666</v>
      </c>
      <c r="AV15" s="2">
        <f t="shared" si="3"/>
        <v>666</v>
      </c>
      <c r="AW15" s="1">
        <f t="shared" si="4"/>
        <v>121.09090909090909</v>
      </c>
      <c r="AX15" s="2"/>
      <c r="AY15" s="2"/>
      <c r="AZ15" s="2">
        <v>1</v>
      </c>
      <c r="BA15" s="2">
        <f t="shared" si="5"/>
        <v>333</v>
      </c>
      <c r="BB15" s="2">
        <f t="shared" si="6"/>
        <v>333</v>
      </c>
      <c r="BC15" s="2">
        <v>0</v>
      </c>
      <c r="BD15" s="2">
        <v>1</v>
      </c>
      <c r="BE15" s="2">
        <v>2</v>
      </c>
      <c r="BF15" s="4">
        <f t="shared" si="7"/>
        <v>2</v>
      </c>
      <c r="BG15" s="2">
        <v>1</v>
      </c>
      <c r="BH15" s="5">
        <f t="shared" si="8"/>
        <v>0.3</v>
      </c>
      <c r="BI15" s="2">
        <v>0</v>
      </c>
      <c r="BJ15" s="2">
        <v>5</v>
      </c>
      <c r="BK15" s="2">
        <v>0</v>
      </c>
      <c r="BL15" t="s">
        <v>83</v>
      </c>
      <c r="BM15" s="2">
        <f t="shared" si="9"/>
        <v>1</v>
      </c>
      <c r="BN15" s="2">
        <v>0</v>
      </c>
      <c r="BO15" s="2">
        <v>99997</v>
      </c>
      <c r="BP15" s="2">
        <v>3</v>
      </c>
      <c r="BQ15" s="2">
        <v>97</v>
      </c>
      <c r="BR15" s="2">
        <v>1</v>
      </c>
      <c r="BS15" s="2">
        <v>1</v>
      </c>
      <c r="BT15" s="2">
        <v>4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97</v>
      </c>
      <c r="CL15" s="2">
        <v>97</v>
      </c>
      <c r="CM15" s="2">
        <v>6</v>
      </c>
      <c r="CN15" s="2">
        <v>7</v>
      </c>
      <c r="CO15" s="2">
        <v>4</v>
      </c>
    </row>
    <row r="16" spans="1:94">
      <c r="A16">
        <v>139</v>
      </c>
      <c r="B16" t="s">
        <v>91</v>
      </c>
      <c r="C16" s="2">
        <v>15</v>
      </c>
      <c r="D16" s="2" t="s">
        <v>174</v>
      </c>
      <c r="E16">
        <v>97</v>
      </c>
      <c r="F16" s="2">
        <v>0</v>
      </c>
      <c r="G16" s="2">
        <v>0</v>
      </c>
      <c r="H16" s="2">
        <v>7</v>
      </c>
      <c r="I16" s="2">
        <f t="shared" si="0"/>
        <v>6.6</v>
      </c>
      <c r="J16" s="2">
        <f t="shared" si="1"/>
        <v>0.3</v>
      </c>
      <c r="K16" s="4">
        <v>0.3</v>
      </c>
      <c r="L16" s="2">
        <v>6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1</v>
      </c>
      <c r="AC16" s="2">
        <v>6</v>
      </c>
      <c r="AD16" s="2">
        <v>97</v>
      </c>
      <c r="AE16" s="2">
        <v>97</v>
      </c>
      <c r="AF16" s="2">
        <v>97</v>
      </c>
      <c r="AG16" s="2">
        <v>97</v>
      </c>
      <c r="AH16" s="2">
        <v>97</v>
      </c>
      <c r="AI16" s="2">
        <v>97</v>
      </c>
      <c r="AJ16" s="2">
        <v>97</v>
      </c>
      <c r="AK16" s="2">
        <v>97</v>
      </c>
      <c r="AL16" s="2">
        <v>97</v>
      </c>
      <c r="AM16" s="2">
        <v>97</v>
      </c>
      <c r="AN16" s="2">
        <v>97</v>
      </c>
      <c r="AO16" s="2">
        <v>97</v>
      </c>
      <c r="AP16" s="2">
        <v>1</v>
      </c>
      <c r="AQ16" s="2">
        <v>6</v>
      </c>
      <c r="AR16" s="2">
        <v>1</v>
      </c>
      <c r="AS16" s="2"/>
      <c r="AT16" s="2"/>
      <c r="AU16" s="2">
        <f t="shared" si="2"/>
        <v>1</v>
      </c>
      <c r="AV16" s="2">
        <f t="shared" si="3"/>
        <v>1</v>
      </c>
      <c r="AW16" s="1">
        <f t="shared" si="4"/>
        <v>0.18181818181818182</v>
      </c>
      <c r="AX16" s="2">
        <v>0.5</v>
      </c>
      <c r="AY16" s="2"/>
      <c r="AZ16" s="2"/>
      <c r="BA16" s="2">
        <f t="shared" si="5"/>
        <v>0.5</v>
      </c>
      <c r="BB16" s="2">
        <f t="shared" si="6"/>
        <v>0.5</v>
      </c>
      <c r="BC16" s="2">
        <v>1</v>
      </c>
      <c r="BD16" s="2">
        <v>1</v>
      </c>
      <c r="BE16" s="2">
        <v>2</v>
      </c>
      <c r="BF16" s="4">
        <f t="shared" si="7"/>
        <v>2</v>
      </c>
      <c r="BG16" s="2">
        <v>1</v>
      </c>
      <c r="BH16" s="5">
        <f t="shared" si="8"/>
        <v>0.3</v>
      </c>
      <c r="BI16" s="2">
        <v>0</v>
      </c>
      <c r="BJ16" s="2">
        <v>7</v>
      </c>
      <c r="BK16" s="2">
        <v>0</v>
      </c>
      <c r="BL16" t="s">
        <v>83</v>
      </c>
      <c r="BM16" s="2">
        <f t="shared" si="9"/>
        <v>1</v>
      </c>
      <c r="BN16" s="2">
        <v>1</v>
      </c>
      <c r="BO16" s="2">
        <v>20</v>
      </c>
      <c r="BP16" s="2">
        <v>1</v>
      </c>
      <c r="BQ16" s="2">
        <v>97</v>
      </c>
      <c r="BR16" s="2">
        <v>0</v>
      </c>
      <c r="BS16" s="2">
        <v>0</v>
      </c>
      <c r="BT16" s="2">
        <v>97</v>
      </c>
      <c r="BU16" s="2">
        <v>1</v>
      </c>
      <c r="BV16" s="2">
        <v>1</v>
      </c>
      <c r="BW16" s="2">
        <v>0</v>
      </c>
      <c r="BX16" s="2">
        <v>0</v>
      </c>
      <c r="BY16" s="2">
        <v>1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 t="s">
        <v>92</v>
      </c>
      <c r="CL16" s="2">
        <v>97</v>
      </c>
      <c r="CM16" s="2">
        <v>5</v>
      </c>
      <c r="CN16" s="2">
        <v>6</v>
      </c>
      <c r="CO16" s="2">
        <v>4</v>
      </c>
    </row>
    <row r="17" spans="1:93">
      <c r="A17">
        <v>138</v>
      </c>
      <c r="B17" t="s">
        <v>91</v>
      </c>
      <c r="C17" s="2">
        <v>9</v>
      </c>
      <c r="D17" s="2" t="s">
        <v>162</v>
      </c>
      <c r="E17">
        <v>97</v>
      </c>
      <c r="F17" s="2">
        <v>1</v>
      </c>
      <c r="G17" s="2">
        <v>0</v>
      </c>
      <c r="H17" s="2">
        <v>7</v>
      </c>
      <c r="I17" s="2">
        <f t="shared" si="0"/>
        <v>6.6</v>
      </c>
      <c r="J17" s="2">
        <f t="shared" si="1"/>
        <v>0.3</v>
      </c>
      <c r="K17" s="4">
        <v>0.3</v>
      </c>
      <c r="L17" s="2">
        <v>6</v>
      </c>
      <c r="M17" s="2">
        <v>0</v>
      </c>
      <c r="N17" s="2">
        <v>3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1</v>
      </c>
      <c r="AC17" s="2">
        <v>6</v>
      </c>
      <c r="AD17" s="2">
        <v>97</v>
      </c>
      <c r="AE17" s="2">
        <v>97</v>
      </c>
      <c r="AF17" s="2">
        <v>97</v>
      </c>
      <c r="AG17" s="2">
        <v>97</v>
      </c>
      <c r="AH17" s="2">
        <v>97</v>
      </c>
      <c r="AI17" s="2">
        <v>97</v>
      </c>
      <c r="AJ17" s="2">
        <v>97</v>
      </c>
      <c r="AK17" s="2">
        <v>97</v>
      </c>
      <c r="AL17" s="2">
        <v>97</v>
      </c>
      <c r="AM17" s="2">
        <v>97</v>
      </c>
      <c r="AN17" s="2">
        <v>97</v>
      </c>
      <c r="AO17" s="2">
        <v>97</v>
      </c>
      <c r="AP17" s="2">
        <v>1</v>
      </c>
      <c r="AQ17" s="2">
        <v>6</v>
      </c>
      <c r="AR17" s="2">
        <v>5</v>
      </c>
      <c r="AS17" s="2"/>
      <c r="AT17" s="2"/>
      <c r="AU17" s="2">
        <f t="shared" si="2"/>
        <v>5</v>
      </c>
      <c r="AV17" s="2">
        <f t="shared" si="3"/>
        <v>5</v>
      </c>
      <c r="AW17" s="1">
        <f t="shared" si="4"/>
        <v>0.90909090909090906</v>
      </c>
      <c r="AX17" s="2">
        <v>2</v>
      </c>
      <c r="AY17" s="2"/>
      <c r="AZ17" s="2"/>
      <c r="BA17" s="2">
        <f t="shared" si="5"/>
        <v>2</v>
      </c>
      <c r="BB17" s="2">
        <f t="shared" si="6"/>
        <v>2</v>
      </c>
      <c r="BC17" s="2">
        <v>0</v>
      </c>
      <c r="BD17" s="2">
        <v>1</v>
      </c>
      <c r="BE17" s="2">
        <v>2</v>
      </c>
      <c r="BF17" s="4">
        <f t="shared" si="7"/>
        <v>2</v>
      </c>
      <c r="BG17" s="2">
        <v>1</v>
      </c>
      <c r="BH17" s="5">
        <f t="shared" si="8"/>
        <v>0.3</v>
      </c>
      <c r="BI17" s="2">
        <v>0</v>
      </c>
      <c r="BJ17" s="2">
        <v>2</v>
      </c>
      <c r="BK17" s="2">
        <v>0</v>
      </c>
      <c r="BL17" t="s">
        <v>83</v>
      </c>
      <c r="BM17" s="2">
        <f t="shared" si="9"/>
        <v>1</v>
      </c>
      <c r="BN17" s="2">
        <v>0</v>
      </c>
      <c r="BO17" s="2">
        <v>99997</v>
      </c>
      <c r="BP17" s="2">
        <v>1</v>
      </c>
      <c r="BQ17" s="2">
        <v>97</v>
      </c>
      <c r="BR17" s="2">
        <v>1</v>
      </c>
      <c r="BS17" s="2">
        <v>0</v>
      </c>
      <c r="BT17" s="2">
        <v>97</v>
      </c>
      <c r="BU17" s="2">
        <v>1</v>
      </c>
      <c r="BV17" s="2">
        <v>1</v>
      </c>
      <c r="BW17" s="2">
        <v>0</v>
      </c>
      <c r="BX17" s="2">
        <v>1</v>
      </c>
      <c r="BY17" s="2">
        <v>0</v>
      </c>
      <c r="BZ17" s="2">
        <v>0</v>
      </c>
      <c r="CA17" s="2">
        <v>0</v>
      </c>
      <c r="CB17" s="2">
        <v>0</v>
      </c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>
        <v>0</v>
      </c>
      <c r="CJ17" s="2">
        <v>0</v>
      </c>
      <c r="CK17" s="2">
        <v>97</v>
      </c>
      <c r="CL17" s="2">
        <v>97</v>
      </c>
      <c r="CM17" s="2">
        <v>98</v>
      </c>
      <c r="CN17" s="2">
        <v>5</v>
      </c>
      <c r="CO17" s="2">
        <v>1</v>
      </c>
    </row>
    <row r="18" spans="1:93">
      <c r="A18">
        <v>137</v>
      </c>
      <c r="B18" t="s">
        <v>135</v>
      </c>
      <c r="C18" s="2">
        <v>7</v>
      </c>
      <c r="D18" s="2" t="s">
        <v>175</v>
      </c>
      <c r="E18">
        <v>97</v>
      </c>
      <c r="F18" s="2">
        <v>1</v>
      </c>
      <c r="G18" s="2">
        <v>1</v>
      </c>
      <c r="H18" s="2">
        <v>7</v>
      </c>
      <c r="I18" s="2">
        <f t="shared" si="0"/>
        <v>6.6</v>
      </c>
      <c r="J18" s="2">
        <f t="shared" si="1"/>
        <v>0.3</v>
      </c>
      <c r="K18" s="4">
        <v>0.3</v>
      </c>
      <c r="L18" s="2">
        <v>6</v>
      </c>
      <c r="M18" s="2">
        <v>1</v>
      </c>
      <c r="N18" s="2">
        <v>3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7</v>
      </c>
      <c r="AD18" s="2">
        <v>97</v>
      </c>
      <c r="AE18" s="2">
        <v>97</v>
      </c>
      <c r="AF18" s="2">
        <v>97</v>
      </c>
      <c r="AG18" s="2">
        <v>97</v>
      </c>
      <c r="AH18" s="2">
        <v>97</v>
      </c>
      <c r="AI18" s="2">
        <v>97</v>
      </c>
      <c r="AJ18" s="2">
        <v>97</v>
      </c>
      <c r="AK18" s="2">
        <v>97</v>
      </c>
      <c r="AL18" s="2">
        <v>97</v>
      </c>
      <c r="AM18" s="2">
        <v>97</v>
      </c>
      <c r="AN18" s="2">
        <v>97</v>
      </c>
      <c r="AO18" s="2">
        <v>97</v>
      </c>
      <c r="AP18" s="2">
        <v>1</v>
      </c>
      <c r="AQ18" s="2">
        <v>5</v>
      </c>
      <c r="AR18" s="2">
        <v>2600</v>
      </c>
      <c r="AS18" s="2"/>
      <c r="AT18" s="2"/>
      <c r="AU18" s="2">
        <f t="shared" si="2"/>
        <v>2600</v>
      </c>
      <c r="AV18" s="2">
        <f t="shared" si="3"/>
        <v>2600</v>
      </c>
      <c r="AW18" s="1">
        <f t="shared" si="4"/>
        <v>472.72727272727275</v>
      </c>
      <c r="AX18" s="2">
        <v>1300</v>
      </c>
      <c r="AY18" s="2"/>
      <c r="AZ18" s="2"/>
      <c r="BA18" s="2">
        <f t="shared" si="5"/>
        <v>1300</v>
      </c>
      <c r="BB18" s="2">
        <f t="shared" si="6"/>
        <v>1300</v>
      </c>
      <c r="BC18" s="2">
        <v>0</v>
      </c>
      <c r="BD18" s="2">
        <v>0</v>
      </c>
      <c r="BE18" s="2">
        <v>2</v>
      </c>
      <c r="BF18" s="4">
        <f t="shared" si="7"/>
        <v>2</v>
      </c>
      <c r="BG18" s="2">
        <v>1</v>
      </c>
      <c r="BH18" s="5">
        <f t="shared" si="8"/>
        <v>0.3</v>
      </c>
      <c r="BI18" s="2">
        <v>0</v>
      </c>
      <c r="BJ18" s="2">
        <v>4</v>
      </c>
      <c r="BK18" s="2">
        <v>0</v>
      </c>
      <c r="BL18" t="s">
        <v>83</v>
      </c>
      <c r="BM18" s="2">
        <f t="shared" si="9"/>
        <v>1</v>
      </c>
      <c r="BN18" s="2">
        <v>0</v>
      </c>
      <c r="BO18" s="2">
        <v>99997</v>
      </c>
      <c r="BP18" s="2">
        <v>1</v>
      </c>
      <c r="BQ18" s="2">
        <v>97</v>
      </c>
      <c r="BR18" s="2">
        <v>1</v>
      </c>
      <c r="BS18" s="2">
        <v>0</v>
      </c>
      <c r="BT18" s="2">
        <v>97</v>
      </c>
      <c r="BU18" s="2">
        <v>0</v>
      </c>
      <c r="BV18" s="2">
        <v>0</v>
      </c>
      <c r="BW18" s="2">
        <v>0</v>
      </c>
      <c r="BX18" s="2">
        <v>0</v>
      </c>
      <c r="BY18" s="2">
        <v>0</v>
      </c>
      <c r="BZ18" s="2">
        <v>0</v>
      </c>
      <c r="CA18" s="2">
        <v>0</v>
      </c>
      <c r="CB18" s="2">
        <v>0</v>
      </c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>
        <v>0</v>
      </c>
      <c r="CJ18" s="2">
        <v>0</v>
      </c>
      <c r="CK18" s="2" t="s">
        <v>136</v>
      </c>
      <c r="CL18" s="2">
        <v>97</v>
      </c>
      <c r="CM18" s="2">
        <v>98</v>
      </c>
      <c r="CN18" s="2">
        <v>7</v>
      </c>
      <c r="CO18" s="2">
        <v>5</v>
      </c>
    </row>
    <row r="19" spans="1:93">
      <c r="A19">
        <v>136</v>
      </c>
      <c r="B19" t="s">
        <v>85</v>
      </c>
      <c r="C19" s="2">
        <v>7</v>
      </c>
      <c r="D19" s="2" t="s">
        <v>175</v>
      </c>
      <c r="E19">
        <v>97</v>
      </c>
      <c r="F19" s="2">
        <v>1</v>
      </c>
      <c r="G19" s="2">
        <v>1</v>
      </c>
      <c r="H19" s="2">
        <v>4</v>
      </c>
      <c r="I19" s="2">
        <f t="shared" si="0"/>
        <v>55</v>
      </c>
      <c r="J19" s="2">
        <f t="shared" si="1"/>
        <v>2.5</v>
      </c>
      <c r="K19" s="4">
        <v>1</v>
      </c>
      <c r="L19" s="2">
        <v>6</v>
      </c>
      <c r="M19" s="2">
        <v>1</v>
      </c>
      <c r="N19" s="2">
        <v>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1</v>
      </c>
      <c r="AC19" s="2">
        <v>7</v>
      </c>
      <c r="AD19" s="2">
        <v>97</v>
      </c>
      <c r="AE19" s="2">
        <v>97</v>
      </c>
      <c r="AF19" s="2">
        <v>97</v>
      </c>
      <c r="AG19" s="2">
        <v>97</v>
      </c>
      <c r="AH19" s="2">
        <v>97</v>
      </c>
      <c r="AI19" s="2">
        <v>97</v>
      </c>
      <c r="AJ19" s="2">
        <v>97</v>
      </c>
      <c r="AK19" s="2">
        <v>97</v>
      </c>
      <c r="AL19" s="2">
        <v>97</v>
      </c>
      <c r="AM19" s="2">
        <v>97</v>
      </c>
      <c r="AN19" s="2">
        <v>97</v>
      </c>
      <c r="AO19" s="2">
        <v>97</v>
      </c>
      <c r="AP19" s="2">
        <v>1</v>
      </c>
      <c r="AQ19" s="2">
        <v>5</v>
      </c>
      <c r="AR19" s="2">
        <v>200</v>
      </c>
      <c r="AS19" s="2"/>
      <c r="AT19" s="2"/>
      <c r="AU19" s="2">
        <f t="shared" si="2"/>
        <v>200</v>
      </c>
      <c r="AV19" s="2">
        <f t="shared" si="3"/>
        <v>200</v>
      </c>
      <c r="AW19" s="1">
        <f t="shared" si="4"/>
        <v>36.363636363636367</v>
      </c>
      <c r="AX19" s="2">
        <v>20</v>
      </c>
      <c r="AY19" s="2"/>
      <c r="AZ19" s="2"/>
      <c r="BA19" s="2">
        <f t="shared" si="5"/>
        <v>20</v>
      </c>
      <c r="BB19" s="2">
        <f t="shared" si="6"/>
        <v>20</v>
      </c>
      <c r="BC19" s="2">
        <v>0</v>
      </c>
      <c r="BD19" s="2">
        <v>1</v>
      </c>
      <c r="BE19" s="2">
        <v>10</v>
      </c>
      <c r="BF19" s="4">
        <f t="shared" si="7"/>
        <v>10</v>
      </c>
      <c r="BG19" s="2">
        <v>2</v>
      </c>
      <c r="BH19" s="5">
        <f t="shared" si="8"/>
        <v>5</v>
      </c>
      <c r="BI19" s="2">
        <v>0</v>
      </c>
      <c r="BJ19" s="2">
        <v>3</v>
      </c>
      <c r="BK19" s="2">
        <v>0</v>
      </c>
      <c r="BL19" t="s">
        <v>83</v>
      </c>
      <c r="BM19" s="2">
        <f t="shared" si="9"/>
        <v>1</v>
      </c>
      <c r="BN19" s="2">
        <v>0</v>
      </c>
      <c r="BO19" s="2">
        <v>99997</v>
      </c>
      <c r="BP19" s="2">
        <v>2</v>
      </c>
      <c r="BQ19" s="2">
        <v>97</v>
      </c>
      <c r="BR19" s="2">
        <v>1</v>
      </c>
      <c r="BS19" s="2">
        <v>0</v>
      </c>
      <c r="BT19" s="2">
        <v>97</v>
      </c>
      <c r="BU19" s="2">
        <v>1</v>
      </c>
      <c r="BV19" s="2">
        <v>1</v>
      </c>
      <c r="BW19" s="2">
        <v>1</v>
      </c>
      <c r="BX19" s="2">
        <v>1</v>
      </c>
      <c r="BY19" s="2">
        <v>1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97</v>
      </c>
      <c r="CL19" s="2">
        <v>97</v>
      </c>
      <c r="CM19" s="2">
        <v>98</v>
      </c>
      <c r="CN19" s="2">
        <v>6</v>
      </c>
      <c r="CO19" s="2">
        <v>99</v>
      </c>
    </row>
    <row r="20" spans="1:93">
      <c r="A20">
        <v>135</v>
      </c>
      <c r="B20" t="s">
        <v>91</v>
      </c>
      <c r="C20" s="2">
        <v>9</v>
      </c>
      <c r="D20" s="2" t="s">
        <v>162</v>
      </c>
      <c r="E20">
        <v>97</v>
      </c>
      <c r="F20" s="2">
        <v>1</v>
      </c>
      <c r="G20" s="2">
        <v>0</v>
      </c>
      <c r="H20" s="2">
        <v>9</v>
      </c>
      <c r="I20" s="2">
        <f t="shared" si="0"/>
        <v>0.65999999999999992</v>
      </c>
      <c r="J20" s="2">
        <f t="shared" si="1"/>
        <v>2.9999999999999995E-2</v>
      </c>
      <c r="K20" s="4">
        <v>0.03</v>
      </c>
      <c r="L20" s="2">
        <v>6</v>
      </c>
      <c r="M20" s="2">
        <v>0</v>
      </c>
      <c r="N20" s="2">
        <v>3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1</v>
      </c>
      <c r="AC20" s="2">
        <v>6</v>
      </c>
      <c r="AD20" s="2">
        <v>97</v>
      </c>
      <c r="AE20" s="2">
        <v>97</v>
      </c>
      <c r="AF20" s="2">
        <v>97</v>
      </c>
      <c r="AG20" s="2">
        <v>97</v>
      </c>
      <c r="AH20" s="2">
        <v>97</v>
      </c>
      <c r="AI20" s="2">
        <v>97</v>
      </c>
      <c r="AJ20" s="2">
        <v>97</v>
      </c>
      <c r="AK20" s="2">
        <v>97</v>
      </c>
      <c r="AL20" s="2">
        <v>97</v>
      </c>
      <c r="AM20" s="2">
        <v>97</v>
      </c>
      <c r="AN20" s="2">
        <v>97</v>
      </c>
      <c r="AO20" s="2">
        <v>97</v>
      </c>
      <c r="AP20" s="2">
        <v>2</v>
      </c>
      <c r="AQ20" s="2">
        <v>6</v>
      </c>
      <c r="AR20" s="2">
        <v>20</v>
      </c>
      <c r="AS20" s="2"/>
      <c r="AT20" s="2"/>
      <c r="AU20" s="2">
        <f t="shared" si="2"/>
        <v>20</v>
      </c>
      <c r="AV20" s="2">
        <f t="shared" si="3"/>
        <v>20</v>
      </c>
      <c r="AW20" s="1">
        <f t="shared" si="4"/>
        <v>3.6363636363636362</v>
      </c>
      <c r="AX20" s="2">
        <v>20</v>
      </c>
      <c r="AY20" s="2"/>
      <c r="AZ20" s="2"/>
      <c r="BA20" s="2">
        <f t="shared" si="5"/>
        <v>20</v>
      </c>
      <c r="BB20" s="2">
        <f t="shared" si="6"/>
        <v>20</v>
      </c>
      <c r="BC20" s="2">
        <v>0</v>
      </c>
      <c r="BD20" s="2">
        <v>1</v>
      </c>
      <c r="BE20" s="2">
        <v>1</v>
      </c>
      <c r="BF20" s="4">
        <f t="shared" si="7"/>
        <v>1</v>
      </c>
      <c r="BG20" s="2">
        <v>1</v>
      </c>
      <c r="BH20" s="5">
        <f t="shared" si="8"/>
        <v>2.9999999999999995E-2</v>
      </c>
      <c r="BI20" s="2">
        <v>0</v>
      </c>
      <c r="BJ20" s="2">
        <v>2</v>
      </c>
      <c r="BK20" s="2">
        <v>0</v>
      </c>
      <c r="BL20" t="s">
        <v>83</v>
      </c>
      <c r="BM20" s="2">
        <f t="shared" si="9"/>
        <v>1</v>
      </c>
      <c r="BN20" s="2">
        <v>0</v>
      </c>
      <c r="BO20" s="2">
        <v>99997</v>
      </c>
      <c r="BP20" s="2">
        <v>1</v>
      </c>
      <c r="BQ20" s="2">
        <v>97</v>
      </c>
      <c r="BR20" s="2">
        <v>1</v>
      </c>
      <c r="BS20" s="2">
        <v>0</v>
      </c>
      <c r="BT20" s="2">
        <v>97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 t="s">
        <v>132</v>
      </c>
      <c r="CL20" s="2">
        <v>97</v>
      </c>
      <c r="CM20" s="2">
        <v>4</v>
      </c>
      <c r="CN20" s="2">
        <v>7</v>
      </c>
      <c r="CO20" s="2">
        <v>7</v>
      </c>
    </row>
    <row r="21" spans="1:93">
      <c r="A21">
        <v>134</v>
      </c>
      <c r="B21" t="s">
        <v>85</v>
      </c>
      <c r="C21" s="2">
        <v>14</v>
      </c>
      <c r="D21" s="2" t="s">
        <v>167</v>
      </c>
      <c r="E21">
        <v>97</v>
      </c>
      <c r="F21" s="2">
        <v>1</v>
      </c>
      <c r="G21" s="2">
        <v>1</v>
      </c>
      <c r="H21" s="2">
        <v>5</v>
      </c>
      <c r="I21" s="2">
        <f t="shared" si="0"/>
        <v>22</v>
      </c>
      <c r="J21" s="2">
        <f t="shared" si="1"/>
        <v>1</v>
      </c>
      <c r="K21" s="4">
        <v>1</v>
      </c>
      <c r="L21" s="2">
        <v>7</v>
      </c>
      <c r="M21" s="2">
        <v>1</v>
      </c>
      <c r="N21" s="2">
        <v>3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1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1</v>
      </c>
      <c r="AB21" s="2">
        <v>1</v>
      </c>
      <c r="AC21" s="2">
        <v>7</v>
      </c>
      <c r="AD21" s="2">
        <v>97</v>
      </c>
      <c r="AE21" s="2">
        <v>97</v>
      </c>
      <c r="AF21" s="2">
        <v>97</v>
      </c>
      <c r="AG21" s="2">
        <v>97</v>
      </c>
      <c r="AH21" s="2">
        <v>97</v>
      </c>
      <c r="AI21" s="2">
        <v>97</v>
      </c>
      <c r="AJ21" s="2">
        <v>97</v>
      </c>
      <c r="AK21" s="2">
        <v>97</v>
      </c>
      <c r="AL21" s="2">
        <v>97</v>
      </c>
      <c r="AM21" s="2">
        <v>97</v>
      </c>
      <c r="AN21" s="2">
        <v>97</v>
      </c>
      <c r="AO21" s="2">
        <v>97</v>
      </c>
      <c r="AP21" s="2">
        <v>3</v>
      </c>
      <c r="AQ21" s="2">
        <v>2</v>
      </c>
      <c r="AR21" s="2"/>
      <c r="AS21" s="2">
        <v>8</v>
      </c>
      <c r="AT21" s="2"/>
      <c r="AU21" s="2">
        <f t="shared" si="2"/>
        <v>2664</v>
      </c>
      <c r="AV21" s="2">
        <f t="shared" si="3"/>
        <v>2664</v>
      </c>
      <c r="AW21" s="1">
        <f t="shared" si="4"/>
        <v>484.36363636363637</v>
      </c>
      <c r="AX21" s="2"/>
      <c r="AY21" s="2">
        <v>4</v>
      </c>
      <c r="AZ21" s="2"/>
      <c r="BA21" s="2">
        <f t="shared" si="5"/>
        <v>1332</v>
      </c>
      <c r="BB21" s="2">
        <f t="shared" si="6"/>
        <v>1332</v>
      </c>
      <c r="BC21" s="2">
        <v>1</v>
      </c>
      <c r="BD21" s="2">
        <v>1</v>
      </c>
      <c r="BE21" s="2">
        <v>30</v>
      </c>
      <c r="BF21" s="4">
        <f t="shared" si="7"/>
        <v>30</v>
      </c>
      <c r="BG21" s="2">
        <v>6</v>
      </c>
      <c r="BH21" s="5">
        <f t="shared" si="8"/>
        <v>6</v>
      </c>
      <c r="BI21" s="2">
        <v>1</v>
      </c>
      <c r="BJ21" s="2">
        <v>6</v>
      </c>
      <c r="BK21" s="2">
        <v>1</v>
      </c>
      <c r="BL21" s="3">
        <v>97</v>
      </c>
      <c r="BM21" s="2">
        <f t="shared" si="9"/>
        <v>0</v>
      </c>
      <c r="BN21" s="2">
        <v>0</v>
      </c>
      <c r="BO21" s="2">
        <v>99997</v>
      </c>
      <c r="BP21" s="2">
        <v>3</v>
      </c>
      <c r="BQ21" s="2">
        <v>97</v>
      </c>
      <c r="BR21" s="2">
        <v>1</v>
      </c>
      <c r="BS21" s="2">
        <v>0</v>
      </c>
      <c r="BT21" s="2">
        <v>97</v>
      </c>
      <c r="BU21" s="2">
        <v>1</v>
      </c>
      <c r="BV21" s="2">
        <v>1</v>
      </c>
      <c r="BW21" s="2">
        <v>1</v>
      </c>
      <c r="BX21" s="2">
        <v>1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 t="s">
        <v>134</v>
      </c>
      <c r="CL21" s="2">
        <v>97</v>
      </c>
      <c r="CM21" s="2">
        <v>4</v>
      </c>
      <c r="CN21" s="2">
        <v>5</v>
      </c>
      <c r="CO21" s="2">
        <v>1</v>
      </c>
    </row>
    <row r="22" spans="1:93">
      <c r="A22">
        <v>133</v>
      </c>
      <c r="B22" t="s">
        <v>133</v>
      </c>
      <c r="C22" s="2">
        <v>7</v>
      </c>
      <c r="D22" s="2" t="s">
        <v>175</v>
      </c>
      <c r="E22">
        <v>97</v>
      </c>
      <c r="F22" s="2">
        <v>1</v>
      </c>
      <c r="G22" s="2">
        <v>1</v>
      </c>
      <c r="H22" s="2">
        <v>3</v>
      </c>
      <c r="I22" s="2">
        <f t="shared" si="0"/>
        <v>99</v>
      </c>
      <c r="J22" s="2">
        <f t="shared" si="1"/>
        <v>4.5</v>
      </c>
      <c r="K22" s="4">
        <v>1</v>
      </c>
      <c r="L22" s="2">
        <v>7</v>
      </c>
      <c r="M22" s="2">
        <v>0</v>
      </c>
      <c r="N22" s="2">
        <v>3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</v>
      </c>
      <c r="AC22" s="2">
        <v>7</v>
      </c>
      <c r="AD22" s="2">
        <v>97</v>
      </c>
      <c r="AE22" s="2">
        <v>97</v>
      </c>
      <c r="AF22" s="2">
        <v>97</v>
      </c>
      <c r="AG22" s="2">
        <v>97</v>
      </c>
      <c r="AH22" s="2">
        <v>97</v>
      </c>
      <c r="AI22" s="2">
        <v>97</v>
      </c>
      <c r="AJ22" s="2">
        <v>97</v>
      </c>
      <c r="AK22" s="2">
        <v>97</v>
      </c>
      <c r="AL22" s="2">
        <v>97</v>
      </c>
      <c r="AM22" s="2">
        <v>97</v>
      </c>
      <c r="AN22" s="2">
        <v>97</v>
      </c>
      <c r="AO22" s="2">
        <v>97</v>
      </c>
      <c r="AP22" s="2">
        <v>1</v>
      </c>
      <c r="AQ22" s="2">
        <v>7</v>
      </c>
      <c r="AR22" s="2"/>
      <c r="AS22" s="2">
        <v>2</v>
      </c>
      <c r="AT22" s="2"/>
      <c r="AU22" s="2">
        <f t="shared" si="2"/>
        <v>666</v>
      </c>
      <c r="AV22" s="2">
        <f t="shared" si="3"/>
        <v>666</v>
      </c>
      <c r="AW22" s="1">
        <f t="shared" si="4"/>
        <v>121.09090909090909</v>
      </c>
      <c r="AX22" s="2"/>
      <c r="AY22" s="2">
        <v>0.5</v>
      </c>
      <c r="AZ22" s="2"/>
      <c r="BA22" s="2">
        <f t="shared" si="5"/>
        <v>166.5</v>
      </c>
      <c r="BB22" s="2">
        <f t="shared" si="6"/>
        <v>166.5</v>
      </c>
      <c r="BC22" s="2">
        <v>0</v>
      </c>
      <c r="BD22" s="2">
        <v>1</v>
      </c>
      <c r="BE22" s="2">
        <v>3</v>
      </c>
      <c r="BF22" s="4">
        <f t="shared" si="7"/>
        <v>3</v>
      </c>
      <c r="BG22" s="2">
        <v>1</v>
      </c>
      <c r="BH22" s="5">
        <f t="shared" si="8"/>
        <v>4.5</v>
      </c>
      <c r="BI22" s="2">
        <v>1</v>
      </c>
      <c r="BJ22" s="2">
        <v>4</v>
      </c>
      <c r="BK22" s="2">
        <v>0</v>
      </c>
      <c r="BL22" t="s">
        <v>83</v>
      </c>
      <c r="BM22" s="2">
        <f t="shared" si="9"/>
        <v>1</v>
      </c>
      <c r="BN22" s="2">
        <v>0</v>
      </c>
      <c r="BO22" s="2">
        <v>99997</v>
      </c>
      <c r="BP22" s="2">
        <v>3</v>
      </c>
      <c r="BQ22" s="2">
        <v>97</v>
      </c>
      <c r="BR22" s="2">
        <v>1</v>
      </c>
      <c r="BS22" s="2">
        <v>0</v>
      </c>
      <c r="BT22" s="2">
        <v>97</v>
      </c>
      <c r="BU22" s="2">
        <v>1</v>
      </c>
      <c r="BV22" s="2">
        <v>1</v>
      </c>
      <c r="BW22" s="2">
        <v>1</v>
      </c>
      <c r="BX22" s="2">
        <v>1</v>
      </c>
      <c r="BY22" s="2">
        <v>1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97</v>
      </c>
      <c r="CL22" s="2">
        <v>97</v>
      </c>
      <c r="CM22" s="2">
        <v>1</v>
      </c>
      <c r="CN22" s="2">
        <v>7</v>
      </c>
      <c r="CO22" s="2">
        <v>1</v>
      </c>
    </row>
    <row r="23" spans="1:93">
      <c r="A23">
        <v>132</v>
      </c>
      <c r="B23" t="s">
        <v>85</v>
      </c>
      <c r="C23" s="2">
        <v>7</v>
      </c>
      <c r="D23" s="2" t="s">
        <v>175</v>
      </c>
      <c r="E23">
        <v>97</v>
      </c>
      <c r="F23" s="2">
        <v>1</v>
      </c>
      <c r="G23" s="2">
        <v>0</v>
      </c>
      <c r="H23" s="2">
        <v>7</v>
      </c>
      <c r="I23" s="2">
        <f t="shared" si="0"/>
        <v>6.6</v>
      </c>
      <c r="J23" s="2">
        <f t="shared" si="1"/>
        <v>0.3</v>
      </c>
      <c r="K23" s="4">
        <v>0.3</v>
      </c>
      <c r="L23" s="2">
        <v>6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1</v>
      </c>
      <c r="AC23" s="2">
        <v>3</v>
      </c>
      <c r="AD23" s="2">
        <v>0</v>
      </c>
      <c r="AE23" s="2">
        <v>0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3</v>
      </c>
      <c r="AQ23" s="2">
        <v>7</v>
      </c>
      <c r="AR23" s="2">
        <v>10</v>
      </c>
      <c r="AS23" s="2"/>
      <c r="AT23" s="2"/>
      <c r="AU23" s="2">
        <f t="shared" si="2"/>
        <v>10</v>
      </c>
      <c r="AV23" s="2">
        <f t="shared" si="3"/>
        <v>10</v>
      </c>
      <c r="AW23" s="1">
        <f t="shared" si="4"/>
        <v>1.8181818181818181</v>
      </c>
      <c r="AX23" s="2">
        <v>5</v>
      </c>
      <c r="AY23" s="2"/>
      <c r="AZ23" s="2"/>
      <c r="BA23" s="2">
        <f t="shared" si="5"/>
        <v>5</v>
      </c>
      <c r="BB23" s="2">
        <f t="shared" si="6"/>
        <v>5</v>
      </c>
      <c r="BC23" s="2">
        <v>0</v>
      </c>
      <c r="BD23" s="2">
        <v>1</v>
      </c>
      <c r="BE23" s="2">
        <v>5</v>
      </c>
      <c r="BF23" s="4">
        <f t="shared" si="7"/>
        <v>5</v>
      </c>
      <c r="BG23" s="2">
        <v>2</v>
      </c>
      <c r="BH23" s="5">
        <f t="shared" si="8"/>
        <v>0.6</v>
      </c>
      <c r="BI23" s="2">
        <v>98</v>
      </c>
      <c r="BJ23" s="2">
        <v>3</v>
      </c>
      <c r="BK23" s="2">
        <v>0</v>
      </c>
      <c r="BL23" t="s">
        <v>83</v>
      </c>
      <c r="BM23" s="2">
        <f t="shared" si="9"/>
        <v>1</v>
      </c>
      <c r="BN23" s="2">
        <v>0</v>
      </c>
      <c r="BO23" s="2">
        <v>99997</v>
      </c>
      <c r="BP23" s="2">
        <v>1</v>
      </c>
      <c r="BQ23" s="2">
        <v>97</v>
      </c>
      <c r="BR23" s="2">
        <v>1</v>
      </c>
      <c r="BS23" s="2">
        <v>0</v>
      </c>
      <c r="BT23" s="2">
        <v>97</v>
      </c>
      <c r="BU23" s="2">
        <v>1</v>
      </c>
      <c r="BV23" s="2">
        <v>1</v>
      </c>
      <c r="BW23" s="2">
        <v>1</v>
      </c>
      <c r="BX23" s="2">
        <v>1</v>
      </c>
      <c r="BY23" s="2">
        <v>1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97</v>
      </c>
      <c r="CL23" s="2">
        <v>97</v>
      </c>
      <c r="CM23" s="2">
        <v>1</v>
      </c>
      <c r="CN23" s="2">
        <v>7</v>
      </c>
      <c r="CO23" s="2">
        <v>1</v>
      </c>
    </row>
    <row r="24" spans="1:93">
      <c r="A24">
        <v>131</v>
      </c>
      <c r="B24" t="s">
        <v>85</v>
      </c>
      <c r="C24" s="2">
        <v>7</v>
      </c>
      <c r="D24" s="2" t="s">
        <v>175</v>
      </c>
      <c r="E24">
        <v>97</v>
      </c>
      <c r="F24" s="2">
        <v>1</v>
      </c>
      <c r="G24" s="2">
        <v>1</v>
      </c>
      <c r="H24" s="2">
        <v>7</v>
      </c>
      <c r="I24" s="2">
        <f t="shared" si="0"/>
        <v>6.6</v>
      </c>
      <c r="J24" s="2">
        <f t="shared" si="1"/>
        <v>0.3</v>
      </c>
      <c r="K24" s="4">
        <v>0.3</v>
      </c>
      <c r="L24" s="2">
        <v>7</v>
      </c>
      <c r="M24" s="2">
        <v>1</v>
      </c>
      <c r="N24" s="2">
        <v>3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1</v>
      </c>
      <c r="AB24" s="2">
        <v>0</v>
      </c>
      <c r="AC24" s="2">
        <v>7</v>
      </c>
      <c r="AD24" s="2">
        <v>97</v>
      </c>
      <c r="AE24" s="2">
        <v>97</v>
      </c>
      <c r="AF24" s="2">
        <v>97</v>
      </c>
      <c r="AG24" s="2">
        <v>97</v>
      </c>
      <c r="AH24" s="2">
        <v>97</v>
      </c>
      <c r="AI24" s="2">
        <v>97</v>
      </c>
      <c r="AJ24" s="2">
        <v>97</v>
      </c>
      <c r="AK24" s="2">
        <v>97</v>
      </c>
      <c r="AL24" s="2">
        <v>97</v>
      </c>
      <c r="AM24" s="2">
        <v>97</v>
      </c>
      <c r="AN24" s="2">
        <v>97</v>
      </c>
      <c r="AO24" s="2">
        <v>97</v>
      </c>
      <c r="AP24" s="2">
        <v>1</v>
      </c>
      <c r="AQ24" s="2">
        <v>7</v>
      </c>
      <c r="AR24" s="2"/>
      <c r="AS24" s="2">
        <v>4</v>
      </c>
      <c r="AT24" s="2"/>
      <c r="AU24" s="2">
        <f t="shared" si="2"/>
        <v>1332</v>
      </c>
      <c r="AV24" s="2">
        <f t="shared" si="3"/>
        <v>1332</v>
      </c>
      <c r="AW24" s="1">
        <f t="shared" si="4"/>
        <v>242.18181818181819</v>
      </c>
      <c r="AX24" s="2"/>
      <c r="AY24" s="2">
        <v>2</v>
      </c>
      <c r="AZ24" s="2"/>
      <c r="BA24" s="2">
        <f t="shared" si="5"/>
        <v>666</v>
      </c>
      <c r="BB24" s="2">
        <f t="shared" si="6"/>
        <v>666</v>
      </c>
      <c r="BC24" s="2">
        <v>0</v>
      </c>
      <c r="BD24" s="2">
        <v>1</v>
      </c>
      <c r="BE24" s="2">
        <v>4</v>
      </c>
      <c r="BF24" s="4">
        <f t="shared" si="7"/>
        <v>4</v>
      </c>
      <c r="BG24" s="2">
        <v>2</v>
      </c>
      <c r="BH24" s="5">
        <f t="shared" si="8"/>
        <v>0.6</v>
      </c>
      <c r="BI24" s="2">
        <v>0</v>
      </c>
      <c r="BJ24" s="2">
        <v>2</v>
      </c>
      <c r="BK24" s="2">
        <v>1</v>
      </c>
      <c r="BL24" s="3">
        <v>97</v>
      </c>
      <c r="BM24" s="2">
        <f t="shared" si="9"/>
        <v>0</v>
      </c>
      <c r="BN24" s="2">
        <v>0</v>
      </c>
      <c r="BO24" s="2">
        <v>99997</v>
      </c>
      <c r="BP24" s="2">
        <v>1</v>
      </c>
      <c r="BQ24" s="2">
        <v>97</v>
      </c>
      <c r="BR24" s="2">
        <v>1</v>
      </c>
      <c r="BS24" s="2">
        <v>1</v>
      </c>
      <c r="BT24" s="2">
        <v>1</v>
      </c>
      <c r="BU24" s="2">
        <v>1</v>
      </c>
      <c r="BV24" s="2">
        <v>1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97</v>
      </c>
      <c r="CL24" s="2">
        <v>97</v>
      </c>
      <c r="CM24" s="2">
        <v>1</v>
      </c>
      <c r="CN24" s="2">
        <v>4</v>
      </c>
      <c r="CO24" s="2">
        <v>1</v>
      </c>
    </row>
    <row r="25" spans="1:93">
      <c r="A25">
        <v>130</v>
      </c>
      <c r="B25" t="s">
        <v>85</v>
      </c>
      <c r="C25" s="2">
        <v>7</v>
      </c>
      <c r="D25" s="2" t="s">
        <v>175</v>
      </c>
      <c r="E25">
        <v>97</v>
      </c>
      <c r="F25" s="2">
        <v>1</v>
      </c>
      <c r="G25" s="2">
        <v>1</v>
      </c>
      <c r="H25" s="2">
        <v>8</v>
      </c>
      <c r="I25" s="2">
        <f t="shared" si="0"/>
        <v>2.0019999999999998</v>
      </c>
      <c r="J25" s="2">
        <f t="shared" si="1"/>
        <v>9.0999999999999984E-2</v>
      </c>
      <c r="K25" s="4">
        <v>9.0999999999999998E-2</v>
      </c>
      <c r="L25" s="2">
        <v>7</v>
      </c>
      <c r="M25" s="2">
        <v>0</v>
      </c>
      <c r="N25" s="2">
        <v>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1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1</v>
      </c>
      <c r="AC25" s="2">
        <v>3</v>
      </c>
      <c r="AD25" s="2">
        <v>0</v>
      </c>
      <c r="AE25" s="2">
        <v>0</v>
      </c>
      <c r="AF25" s="2">
        <v>0</v>
      </c>
      <c r="AG25" s="2">
        <v>1</v>
      </c>
      <c r="AH25" s="2">
        <v>1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3</v>
      </c>
      <c r="AQ25" s="2">
        <v>1</v>
      </c>
      <c r="AR25" s="2">
        <v>20</v>
      </c>
      <c r="AS25" s="2"/>
      <c r="AT25" s="2"/>
      <c r="AU25" s="2">
        <f t="shared" si="2"/>
        <v>20</v>
      </c>
      <c r="AV25" s="2">
        <f t="shared" si="3"/>
        <v>20</v>
      </c>
      <c r="AW25" s="1">
        <f t="shared" si="4"/>
        <v>3.6363636363636362</v>
      </c>
      <c r="AX25" s="2">
        <v>10</v>
      </c>
      <c r="AY25" s="2"/>
      <c r="AZ25" s="2"/>
      <c r="BA25" s="2">
        <f t="shared" si="5"/>
        <v>10</v>
      </c>
      <c r="BB25" s="2">
        <f t="shared" si="6"/>
        <v>10</v>
      </c>
      <c r="BC25" s="2">
        <v>0</v>
      </c>
      <c r="BD25" s="2">
        <v>1</v>
      </c>
      <c r="BE25" s="2">
        <v>3</v>
      </c>
      <c r="BF25" s="4">
        <f t="shared" si="7"/>
        <v>3</v>
      </c>
      <c r="BG25" s="2">
        <v>1</v>
      </c>
      <c r="BH25" s="5">
        <f t="shared" si="8"/>
        <v>9.0999999999999984E-2</v>
      </c>
      <c r="BI25" s="2">
        <v>0</v>
      </c>
      <c r="BJ25" s="2">
        <v>4</v>
      </c>
      <c r="BK25" s="2">
        <v>0</v>
      </c>
      <c r="BL25" t="s">
        <v>83</v>
      </c>
      <c r="BM25" s="2">
        <f t="shared" si="9"/>
        <v>1</v>
      </c>
      <c r="BN25" s="2">
        <v>0</v>
      </c>
      <c r="BO25" s="2">
        <v>99997</v>
      </c>
      <c r="BP25" s="2">
        <v>3</v>
      </c>
      <c r="BQ25" s="2">
        <v>97</v>
      </c>
      <c r="BR25" s="2">
        <v>1</v>
      </c>
      <c r="BS25" s="2">
        <v>0</v>
      </c>
      <c r="BT25" s="2">
        <v>97</v>
      </c>
      <c r="BU25" s="2">
        <v>1</v>
      </c>
      <c r="BV25" s="2">
        <v>1</v>
      </c>
      <c r="BW25" s="2">
        <v>0</v>
      </c>
      <c r="BX25" s="2">
        <v>1</v>
      </c>
      <c r="BY25" s="2">
        <v>0</v>
      </c>
      <c r="BZ25" s="2">
        <v>1</v>
      </c>
      <c r="CA25" s="2">
        <v>1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97</v>
      </c>
      <c r="CL25" s="2">
        <v>97</v>
      </c>
      <c r="CM25" s="2">
        <v>1</v>
      </c>
      <c r="CN25" s="2">
        <v>7</v>
      </c>
      <c r="CO25" s="2">
        <v>1</v>
      </c>
    </row>
    <row r="26" spans="1:93">
      <c r="A26">
        <v>129</v>
      </c>
      <c r="B26" t="s">
        <v>85</v>
      </c>
      <c r="C26" s="2">
        <v>7</v>
      </c>
      <c r="D26" s="2" t="s">
        <v>175</v>
      </c>
      <c r="E26">
        <v>97</v>
      </c>
      <c r="F26" s="2">
        <v>0</v>
      </c>
      <c r="G26" s="2">
        <v>0</v>
      </c>
      <c r="H26" s="2">
        <v>9</v>
      </c>
      <c r="I26" s="2">
        <f t="shared" si="0"/>
        <v>0.65999999999999992</v>
      </c>
      <c r="J26" s="2">
        <f t="shared" si="1"/>
        <v>2.9999999999999995E-2</v>
      </c>
      <c r="K26" s="4">
        <v>0.03</v>
      </c>
      <c r="L26" s="2">
        <v>7</v>
      </c>
      <c r="M26" s="2">
        <v>0</v>
      </c>
      <c r="N26" s="2">
        <v>3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1</v>
      </c>
      <c r="AC26" s="2">
        <v>7</v>
      </c>
      <c r="AD26" s="2">
        <v>97</v>
      </c>
      <c r="AE26" s="2">
        <v>97</v>
      </c>
      <c r="AF26" s="2">
        <v>97</v>
      </c>
      <c r="AG26" s="2">
        <v>97</v>
      </c>
      <c r="AH26" s="2">
        <v>97</v>
      </c>
      <c r="AI26" s="2">
        <v>97</v>
      </c>
      <c r="AJ26" s="2">
        <v>97</v>
      </c>
      <c r="AK26" s="2">
        <v>97</v>
      </c>
      <c r="AL26" s="2">
        <v>97</v>
      </c>
      <c r="AM26" s="2">
        <v>97</v>
      </c>
      <c r="AN26" s="2">
        <v>97</v>
      </c>
      <c r="AO26" s="2">
        <v>97</v>
      </c>
      <c r="AP26" s="2">
        <v>1</v>
      </c>
      <c r="AQ26" s="2">
        <v>7</v>
      </c>
      <c r="AR26" s="2"/>
      <c r="AS26" s="2"/>
      <c r="AT26" s="2"/>
      <c r="AU26" s="2">
        <f t="shared" si="2"/>
        <v>0</v>
      </c>
      <c r="AV26" s="2">
        <f t="shared" si="3"/>
        <v>0</v>
      </c>
      <c r="AW26" s="1">
        <f t="shared" si="4"/>
        <v>0</v>
      </c>
      <c r="AX26" s="2">
        <v>200</v>
      </c>
      <c r="AY26" s="2"/>
      <c r="AZ26" s="2"/>
      <c r="BA26" s="2">
        <f t="shared" si="5"/>
        <v>200</v>
      </c>
      <c r="BB26" s="2">
        <f t="shared" si="6"/>
        <v>200</v>
      </c>
      <c r="BC26" s="2">
        <v>0</v>
      </c>
      <c r="BD26" s="2">
        <v>1</v>
      </c>
      <c r="BE26" s="2">
        <v>10</v>
      </c>
      <c r="BF26" s="4">
        <f t="shared" si="7"/>
        <v>10</v>
      </c>
      <c r="BG26" s="2">
        <v>10</v>
      </c>
      <c r="BH26" s="5">
        <f t="shared" si="8"/>
        <v>0.29999999999999993</v>
      </c>
      <c r="BI26" s="2">
        <v>1</v>
      </c>
      <c r="BJ26" s="2">
        <v>5</v>
      </c>
      <c r="BK26" s="2">
        <v>0</v>
      </c>
      <c r="BL26" t="s">
        <v>83</v>
      </c>
      <c r="BM26" s="2">
        <f t="shared" si="9"/>
        <v>1</v>
      </c>
      <c r="BN26" s="2">
        <v>0</v>
      </c>
      <c r="BO26" s="2">
        <v>99997</v>
      </c>
      <c r="BP26" s="2">
        <v>3</v>
      </c>
      <c r="BQ26" s="2">
        <v>97</v>
      </c>
      <c r="BR26" s="2">
        <v>0</v>
      </c>
      <c r="BS26" s="2">
        <v>0</v>
      </c>
      <c r="BT26" s="2">
        <v>97</v>
      </c>
      <c r="BU26" s="2">
        <v>1</v>
      </c>
      <c r="BV26" s="2">
        <v>1</v>
      </c>
      <c r="BW26" s="2">
        <v>1</v>
      </c>
      <c r="BX26" s="2">
        <v>0</v>
      </c>
      <c r="BY26" s="2">
        <v>1</v>
      </c>
      <c r="BZ26" s="2">
        <v>0</v>
      </c>
      <c r="CA26" s="2">
        <v>0</v>
      </c>
      <c r="CB26" s="2">
        <v>0</v>
      </c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>
        <v>0</v>
      </c>
      <c r="CJ26" s="2">
        <v>0</v>
      </c>
      <c r="CK26" s="2">
        <v>97</v>
      </c>
      <c r="CL26" s="2">
        <v>97</v>
      </c>
      <c r="CM26" s="2">
        <v>7</v>
      </c>
      <c r="CN26" s="2">
        <v>7</v>
      </c>
      <c r="CO26" s="2">
        <v>7</v>
      </c>
    </row>
    <row r="27" spans="1:93">
      <c r="A27">
        <v>128</v>
      </c>
      <c r="B27" t="s">
        <v>85</v>
      </c>
      <c r="C27" s="2">
        <v>14</v>
      </c>
      <c r="D27" s="2" t="s">
        <v>167</v>
      </c>
      <c r="E27">
        <v>97</v>
      </c>
      <c r="F27" s="2">
        <v>1</v>
      </c>
      <c r="G27" s="2">
        <v>1</v>
      </c>
      <c r="H27" s="2">
        <v>7</v>
      </c>
      <c r="I27" s="2">
        <f t="shared" si="0"/>
        <v>6.6</v>
      </c>
      <c r="J27" s="2">
        <f t="shared" si="1"/>
        <v>0.3</v>
      </c>
      <c r="K27" s="4">
        <v>0.3</v>
      </c>
      <c r="L27" s="2">
        <v>7</v>
      </c>
      <c r="M27" s="2">
        <v>1</v>
      </c>
      <c r="N27" s="2">
        <v>3</v>
      </c>
      <c r="O27" s="2">
        <v>0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7</v>
      </c>
      <c r="AD27" s="2">
        <v>97</v>
      </c>
      <c r="AE27" s="2">
        <v>97</v>
      </c>
      <c r="AF27" s="2">
        <v>97</v>
      </c>
      <c r="AG27" s="2">
        <v>97</v>
      </c>
      <c r="AH27" s="2">
        <v>97</v>
      </c>
      <c r="AI27" s="2">
        <v>97</v>
      </c>
      <c r="AJ27" s="2">
        <v>97</v>
      </c>
      <c r="AK27" s="2">
        <v>97</v>
      </c>
      <c r="AL27" s="2">
        <v>97</v>
      </c>
      <c r="AM27" s="2">
        <v>97</v>
      </c>
      <c r="AN27" s="2">
        <v>97</v>
      </c>
      <c r="AO27" s="2">
        <v>97</v>
      </c>
      <c r="AP27" s="2">
        <v>3</v>
      </c>
      <c r="AQ27" s="2">
        <v>1</v>
      </c>
      <c r="AR27" s="2"/>
      <c r="AS27" s="2">
        <v>6</v>
      </c>
      <c r="AT27" s="2"/>
      <c r="AU27" s="2">
        <f t="shared" si="2"/>
        <v>1998</v>
      </c>
      <c r="AV27" s="2">
        <f t="shared" si="3"/>
        <v>1998</v>
      </c>
      <c r="AW27" s="1">
        <f t="shared" si="4"/>
        <v>363.27272727272725</v>
      </c>
      <c r="AX27" s="2"/>
      <c r="AY27" s="2">
        <v>3</v>
      </c>
      <c r="AZ27" s="2"/>
      <c r="BA27" s="2">
        <f t="shared" si="5"/>
        <v>999</v>
      </c>
      <c r="BB27" s="2">
        <f t="shared" si="6"/>
        <v>999</v>
      </c>
      <c r="BC27" s="2">
        <v>0</v>
      </c>
      <c r="BD27" s="2">
        <v>1</v>
      </c>
      <c r="BE27" s="2">
        <v>2</v>
      </c>
      <c r="BF27" s="4">
        <f t="shared" si="7"/>
        <v>2</v>
      </c>
      <c r="BG27" s="2">
        <v>1</v>
      </c>
      <c r="BH27" s="5">
        <f t="shared" si="8"/>
        <v>0.3</v>
      </c>
      <c r="BI27" s="2">
        <v>98</v>
      </c>
      <c r="BJ27" s="2">
        <v>7</v>
      </c>
      <c r="BK27" s="2">
        <v>1</v>
      </c>
      <c r="BL27" s="3">
        <v>97</v>
      </c>
      <c r="BM27" s="2">
        <f t="shared" si="9"/>
        <v>0</v>
      </c>
      <c r="BN27" s="2">
        <v>0</v>
      </c>
      <c r="BO27" s="2">
        <v>99997</v>
      </c>
      <c r="BP27" s="2">
        <v>3</v>
      </c>
      <c r="BQ27" s="2">
        <v>97</v>
      </c>
      <c r="BR27" s="2">
        <v>1</v>
      </c>
      <c r="BS27" s="2">
        <v>0</v>
      </c>
      <c r="BT27" s="2">
        <v>97</v>
      </c>
      <c r="BU27" s="2">
        <v>1</v>
      </c>
      <c r="BV27" s="2">
        <v>1</v>
      </c>
      <c r="BW27" s="2">
        <v>1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 t="s">
        <v>132</v>
      </c>
      <c r="CL27" s="2">
        <v>97</v>
      </c>
      <c r="CM27" s="2">
        <v>4</v>
      </c>
      <c r="CN27" s="2">
        <v>1</v>
      </c>
      <c r="CO27" s="2">
        <v>1</v>
      </c>
    </row>
    <row r="28" spans="1:93">
      <c r="A28">
        <v>127</v>
      </c>
      <c r="B28" t="s">
        <v>81</v>
      </c>
      <c r="C28" s="2">
        <v>7</v>
      </c>
      <c r="D28" s="2" t="s">
        <v>175</v>
      </c>
      <c r="E28">
        <v>97</v>
      </c>
      <c r="F28" s="2">
        <v>0</v>
      </c>
      <c r="G28" s="2">
        <v>1</v>
      </c>
      <c r="H28" s="2">
        <v>98</v>
      </c>
      <c r="I28" s="2" t="b">
        <f t="shared" si="0"/>
        <v>0</v>
      </c>
      <c r="J28" s="2">
        <f t="shared" si="1"/>
        <v>0</v>
      </c>
      <c r="K28" s="4">
        <v>0</v>
      </c>
      <c r="L28" s="2">
        <v>98</v>
      </c>
      <c r="M28" s="2">
        <v>98</v>
      </c>
      <c r="N28" s="2">
        <v>98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1</v>
      </c>
      <c r="W28" s="2">
        <v>1</v>
      </c>
      <c r="X28" s="2">
        <v>0</v>
      </c>
      <c r="Y28" s="2">
        <v>0</v>
      </c>
      <c r="Z28" s="2">
        <v>0</v>
      </c>
      <c r="AA28" s="2">
        <v>98</v>
      </c>
      <c r="AB28" s="2">
        <v>1</v>
      </c>
      <c r="AC28" s="2">
        <v>98</v>
      </c>
      <c r="AD28" s="2">
        <v>97</v>
      </c>
      <c r="AE28" s="2">
        <v>97</v>
      </c>
      <c r="AF28" s="2">
        <v>97</v>
      </c>
      <c r="AG28" s="2">
        <v>97</v>
      </c>
      <c r="AH28" s="2">
        <v>97</v>
      </c>
      <c r="AI28" s="2">
        <v>97</v>
      </c>
      <c r="AJ28" s="2">
        <v>97</v>
      </c>
      <c r="AK28" s="2">
        <v>97</v>
      </c>
      <c r="AL28" s="2">
        <v>97</v>
      </c>
      <c r="AM28" s="2">
        <v>97</v>
      </c>
      <c r="AN28" s="2">
        <v>97</v>
      </c>
      <c r="AO28" s="2">
        <v>97</v>
      </c>
      <c r="AP28" s="2">
        <v>98</v>
      </c>
      <c r="AQ28" s="2">
        <v>7</v>
      </c>
      <c r="AR28" s="2">
        <v>100</v>
      </c>
      <c r="AS28" s="2"/>
      <c r="AT28" s="2"/>
      <c r="AU28" s="2">
        <f t="shared" si="2"/>
        <v>100</v>
      </c>
      <c r="AV28" s="2">
        <f t="shared" si="3"/>
        <v>100</v>
      </c>
      <c r="AW28" s="1">
        <f t="shared" si="4"/>
        <v>18.181818181818183</v>
      </c>
      <c r="AX28" s="2">
        <v>100</v>
      </c>
      <c r="AY28" s="2"/>
      <c r="AZ28" s="2"/>
      <c r="BA28" s="2">
        <f t="shared" si="5"/>
        <v>100</v>
      </c>
      <c r="BB28" s="2">
        <f t="shared" si="6"/>
        <v>100</v>
      </c>
      <c r="BC28" s="2">
        <v>0</v>
      </c>
      <c r="BD28" s="2">
        <v>98</v>
      </c>
      <c r="BE28" s="2">
        <v>98</v>
      </c>
      <c r="BF28" s="4">
        <f t="shared" si="7"/>
        <v>0</v>
      </c>
      <c r="BG28" s="2">
        <v>98</v>
      </c>
      <c r="BH28" s="5">
        <f t="shared" si="8"/>
        <v>0</v>
      </c>
      <c r="BI28" s="2">
        <v>99</v>
      </c>
      <c r="BJ28" s="2">
        <v>4</v>
      </c>
      <c r="BK28" s="2">
        <v>0</v>
      </c>
      <c r="BL28" t="s">
        <v>83</v>
      </c>
      <c r="BM28" s="2">
        <f t="shared" si="9"/>
        <v>1</v>
      </c>
      <c r="BN28" s="2">
        <v>0</v>
      </c>
      <c r="BO28" s="2">
        <v>99997</v>
      </c>
      <c r="BP28" s="2">
        <v>1</v>
      </c>
      <c r="BQ28" s="2">
        <v>97</v>
      </c>
      <c r="BR28" s="2">
        <v>1</v>
      </c>
      <c r="BS28" s="2">
        <v>0</v>
      </c>
      <c r="BT28" s="2">
        <v>97</v>
      </c>
      <c r="BU28" s="2">
        <v>98</v>
      </c>
      <c r="BV28" s="2">
        <v>98</v>
      </c>
      <c r="BW28" s="2">
        <v>98</v>
      </c>
      <c r="BX28" s="2">
        <v>98</v>
      </c>
      <c r="BY28" s="2">
        <v>98</v>
      </c>
      <c r="BZ28" s="2">
        <v>98</v>
      </c>
      <c r="CA28" s="2">
        <v>98</v>
      </c>
      <c r="CB28" s="2">
        <v>98</v>
      </c>
      <c r="CC28" s="2">
        <v>98</v>
      </c>
      <c r="CD28" s="2">
        <v>98</v>
      </c>
      <c r="CE28" s="2">
        <v>98</v>
      </c>
      <c r="CF28" s="2">
        <v>98</v>
      </c>
      <c r="CG28" s="2">
        <v>98</v>
      </c>
      <c r="CH28" s="2">
        <v>98</v>
      </c>
      <c r="CI28" s="2">
        <v>98</v>
      </c>
      <c r="CJ28" s="2">
        <v>98</v>
      </c>
      <c r="CK28" s="2">
        <v>98</v>
      </c>
      <c r="CL28" s="2">
        <v>98</v>
      </c>
      <c r="CM28" s="2">
        <v>98</v>
      </c>
      <c r="CN28" s="2">
        <v>98</v>
      </c>
      <c r="CO28" s="2">
        <v>98</v>
      </c>
    </row>
    <row r="29" spans="1:93">
      <c r="A29">
        <v>126</v>
      </c>
      <c r="B29" t="s">
        <v>91</v>
      </c>
      <c r="C29" s="2">
        <v>7</v>
      </c>
      <c r="D29" s="2" t="s">
        <v>175</v>
      </c>
      <c r="E29">
        <v>97</v>
      </c>
      <c r="F29" s="2">
        <v>0</v>
      </c>
      <c r="G29" s="2">
        <v>1</v>
      </c>
      <c r="H29" s="2">
        <v>8</v>
      </c>
      <c r="I29" s="2">
        <f t="shared" si="0"/>
        <v>2.0019999999999998</v>
      </c>
      <c r="J29" s="2">
        <f t="shared" si="1"/>
        <v>9.0999999999999984E-2</v>
      </c>
      <c r="K29" s="4">
        <v>9.0999999999999998E-2</v>
      </c>
      <c r="L29" s="2">
        <v>7</v>
      </c>
      <c r="M29" s="2">
        <v>0</v>
      </c>
      <c r="N29" s="2">
        <v>3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2">
        <v>0</v>
      </c>
      <c r="AC29" s="2">
        <v>7</v>
      </c>
      <c r="AD29" s="2">
        <v>97</v>
      </c>
      <c r="AE29" s="2">
        <v>97</v>
      </c>
      <c r="AF29" s="2">
        <v>97</v>
      </c>
      <c r="AG29" s="2">
        <v>97</v>
      </c>
      <c r="AH29" s="2">
        <v>97</v>
      </c>
      <c r="AI29" s="2">
        <v>97</v>
      </c>
      <c r="AJ29" s="2">
        <v>97</v>
      </c>
      <c r="AK29" s="2">
        <v>97</v>
      </c>
      <c r="AL29" s="2">
        <v>97</v>
      </c>
      <c r="AM29" s="2">
        <v>97</v>
      </c>
      <c r="AN29" s="2">
        <v>97</v>
      </c>
      <c r="AO29" s="2">
        <v>97</v>
      </c>
      <c r="AP29" s="2">
        <v>2</v>
      </c>
      <c r="AQ29" s="2">
        <v>7</v>
      </c>
      <c r="AR29" s="2">
        <v>10</v>
      </c>
      <c r="AS29" s="2"/>
      <c r="AT29" s="2"/>
      <c r="AU29" s="2">
        <f t="shared" si="2"/>
        <v>10</v>
      </c>
      <c r="AV29" s="2">
        <f t="shared" si="3"/>
        <v>10</v>
      </c>
      <c r="AW29" s="1">
        <f t="shared" si="4"/>
        <v>1.8181818181818181</v>
      </c>
      <c r="AX29" s="2">
        <v>10</v>
      </c>
      <c r="AY29" s="2"/>
      <c r="AZ29" s="2"/>
      <c r="BA29" s="2">
        <f t="shared" si="5"/>
        <v>10</v>
      </c>
      <c r="BB29" s="2">
        <f t="shared" si="6"/>
        <v>10</v>
      </c>
      <c r="BC29" s="2">
        <v>0</v>
      </c>
      <c r="BD29" s="2">
        <v>0</v>
      </c>
      <c r="BE29" s="2">
        <v>1</v>
      </c>
      <c r="BF29" s="4">
        <f t="shared" si="7"/>
        <v>1</v>
      </c>
      <c r="BG29" s="2">
        <v>1</v>
      </c>
      <c r="BH29" s="5">
        <f t="shared" si="8"/>
        <v>9.0999999999999984E-2</v>
      </c>
      <c r="BI29" s="2">
        <v>0</v>
      </c>
      <c r="BJ29" s="2">
        <v>4</v>
      </c>
      <c r="BK29" s="2">
        <v>0</v>
      </c>
      <c r="BL29" t="s">
        <v>83</v>
      </c>
      <c r="BM29" s="2">
        <f t="shared" si="9"/>
        <v>1</v>
      </c>
      <c r="BN29" s="2">
        <v>0</v>
      </c>
      <c r="BO29" s="2">
        <v>99997</v>
      </c>
      <c r="BP29" s="2">
        <v>1</v>
      </c>
      <c r="BQ29" s="2" t="s">
        <v>149</v>
      </c>
      <c r="BR29" s="2">
        <v>1</v>
      </c>
      <c r="BS29" s="2">
        <v>0</v>
      </c>
      <c r="BT29" s="2">
        <v>97</v>
      </c>
      <c r="BU29" s="2">
        <v>0</v>
      </c>
      <c r="BV29" s="2">
        <v>0</v>
      </c>
      <c r="BW29" s="2">
        <v>0</v>
      </c>
      <c r="BX29" s="2">
        <v>0</v>
      </c>
      <c r="BY29" s="2">
        <v>0</v>
      </c>
      <c r="BZ29" s="2">
        <v>0</v>
      </c>
      <c r="CA29" s="2">
        <v>0</v>
      </c>
      <c r="CB29" s="2">
        <v>0</v>
      </c>
      <c r="CC29" s="2">
        <v>0</v>
      </c>
      <c r="CD29" s="2">
        <v>0</v>
      </c>
      <c r="CE29" s="2">
        <v>0</v>
      </c>
      <c r="CF29" s="2">
        <v>0</v>
      </c>
      <c r="CG29" s="2">
        <v>0</v>
      </c>
      <c r="CH29" s="2">
        <v>0</v>
      </c>
      <c r="CI29" s="2">
        <v>0</v>
      </c>
      <c r="CJ29" s="2">
        <v>0</v>
      </c>
      <c r="CK29" s="2" t="s">
        <v>131</v>
      </c>
      <c r="CL29" s="2">
        <v>97</v>
      </c>
      <c r="CM29" s="2">
        <v>99</v>
      </c>
      <c r="CN29" s="2">
        <v>7</v>
      </c>
      <c r="CO29" s="2">
        <v>1</v>
      </c>
    </row>
    <row r="30" spans="1:93">
      <c r="A30">
        <v>123</v>
      </c>
      <c r="B30" t="s">
        <v>91</v>
      </c>
      <c r="C30" s="2">
        <v>9</v>
      </c>
      <c r="D30" s="2" t="s">
        <v>162</v>
      </c>
      <c r="E30">
        <v>97</v>
      </c>
      <c r="F30" s="2">
        <v>0</v>
      </c>
      <c r="G30" s="2">
        <v>0</v>
      </c>
      <c r="H30" s="2">
        <v>8</v>
      </c>
      <c r="I30" s="2">
        <f t="shared" si="0"/>
        <v>2.0019999999999998</v>
      </c>
      <c r="J30" s="2">
        <f t="shared" si="1"/>
        <v>9.0999999999999984E-2</v>
      </c>
      <c r="K30" s="4">
        <v>9.0999999999999998E-2</v>
      </c>
      <c r="L30" s="2">
        <v>6</v>
      </c>
      <c r="M30" s="2">
        <v>0</v>
      </c>
      <c r="N30" s="2">
        <v>3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98</v>
      </c>
      <c r="AB30" s="2">
        <v>0</v>
      </c>
      <c r="AC30" s="2">
        <v>6</v>
      </c>
      <c r="AD30" s="2">
        <v>97</v>
      </c>
      <c r="AE30" s="2">
        <v>97</v>
      </c>
      <c r="AF30" s="2">
        <v>97</v>
      </c>
      <c r="AG30" s="2">
        <v>97</v>
      </c>
      <c r="AH30" s="2">
        <v>97</v>
      </c>
      <c r="AI30" s="2">
        <v>97</v>
      </c>
      <c r="AJ30" s="2">
        <v>97</v>
      </c>
      <c r="AK30" s="2">
        <v>97</v>
      </c>
      <c r="AL30" s="2">
        <v>97</v>
      </c>
      <c r="AM30" s="2">
        <v>97</v>
      </c>
      <c r="AN30" s="2">
        <v>97</v>
      </c>
      <c r="AO30" s="2">
        <v>97</v>
      </c>
      <c r="AP30" s="2">
        <v>2</v>
      </c>
      <c r="AQ30" s="2">
        <v>7</v>
      </c>
      <c r="AR30" s="2">
        <v>10</v>
      </c>
      <c r="AS30" s="2"/>
      <c r="AT30" s="2"/>
      <c r="AU30" s="2">
        <f t="shared" si="2"/>
        <v>10</v>
      </c>
      <c r="AV30" s="2">
        <f t="shared" si="3"/>
        <v>10</v>
      </c>
      <c r="AW30" s="1">
        <f t="shared" si="4"/>
        <v>1.8181818181818181</v>
      </c>
      <c r="AX30" s="2">
        <v>10</v>
      </c>
      <c r="AY30" s="2"/>
      <c r="AZ30" s="2"/>
      <c r="BA30" s="2">
        <f t="shared" si="5"/>
        <v>10</v>
      </c>
      <c r="BB30" s="2">
        <f t="shared" si="6"/>
        <v>10</v>
      </c>
      <c r="BC30" s="2">
        <v>0</v>
      </c>
      <c r="BD30" s="2">
        <v>0</v>
      </c>
      <c r="BE30" s="2">
        <v>1</v>
      </c>
      <c r="BF30" s="4">
        <f t="shared" si="7"/>
        <v>1</v>
      </c>
      <c r="BG30" s="2">
        <v>1</v>
      </c>
      <c r="BH30" s="5">
        <f t="shared" si="8"/>
        <v>9.0999999999999984E-2</v>
      </c>
      <c r="BI30" s="2">
        <v>0</v>
      </c>
      <c r="BJ30" s="2">
        <v>1</v>
      </c>
      <c r="BK30" s="2">
        <v>0</v>
      </c>
      <c r="BL30" t="s">
        <v>83</v>
      </c>
      <c r="BM30" s="2">
        <f t="shared" si="9"/>
        <v>1</v>
      </c>
      <c r="BN30" s="2">
        <v>1</v>
      </c>
      <c r="BO30" s="2">
        <v>200</v>
      </c>
      <c r="BP30" s="2">
        <v>1</v>
      </c>
      <c r="BQ30" s="2">
        <v>97</v>
      </c>
      <c r="BR30" s="2">
        <v>0</v>
      </c>
      <c r="BS30" s="2">
        <v>1</v>
      </c>
      <c r="BT30" s="2">
        <v>97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 t="s">
        <v>131</v>
      </c>
      <c r="CL30" s="2">
        <v>97</v>
      </c>
      <c r="CM30" s="2">
        <v>99</v>
      </c>
      <c r="CN30" s="2">
        <v>2</v>
      </c>
      <c r="CO30" s="2">
        <v>2</v>
      </c>
    </row>
    <row r="31" spans="1:93">
      <c r="A31">
        <v>119</v>
      </c>
      <c r="B31" t="s">
        <v>91</v>
      </c>
      <c r="C31" s="2">
        <v>7</v>
      </c>
      <c r="D31" s="2" t="s">
        <v>175</v>
      </c>
      <c r="E31">
        <v>97</v>
      </c>
      <c r="F31" s="2">
        <v>0</v>
      </c>
      <c r="G31" s="2">
        <v>0</v>
      </c>
      <c r="H31" s="2">
        <v>7</v>
      </c>
      <c r="I31" s="2">
        <f t="shared" si="0"/>
        <v>6.6</v>
      </c>
      <c r="J31" s="2">
        <f t="shared" si="1"/>
        <v>0.3</v>
      </c>
      <c r="K31" s="4">
        <v>0.3</v>
      </c>
      <c r="L31" s="2">
        <v>6</v>
      </c>
      <c r="M31" s="2">
        <v>0</v>
      </c>
      <c r="N31" s="2">
        <v>3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1</v>
      </c>
      <c r="AC31" s="2">
        <v>7</v>
      </c>
      <c r="AD31" s="2">
        <v>97</v>
      </c>
      <c r="AE31" s="2">
        <v>97</v>
      </c>
      <c r="AF31" s="2">
        <v>97</v>
      </c>
      <c r="AG31" s="2">
        <v>97</v>
      </c>
      <c r="AH31" s="2">
        <v>97</v>
      </c>
      <c r="AI31" s="2">
        <v>97</v>
      </c>
      <c r="AJ31" s="2">
        <v>97</v>
      </c>
      <c r="AK31" s="2">
        <v>97</v>
      </c>
      <c r="AL31" s="2">
        <v>97</v>
      </c>
      <c r="AM31" s="2">
        <v>97</v>
      </c>
      <c r="AN31" s="2">
        <v>97</v>
      </c>
      <c r="AO31" s="2">
        <v>97</v>
      </c>
      <c r="AP31" s="2">
        <v>1</v>
      </c>
      <c r="AQ31" s="2">
        <v>7</v>
      </c>
      <c r="AR31" s="2">
        <v>20</v>
      </c>
      <c r="AS31" s="2"/>
      <c r="AT31" s="2"/>
      <c r="AU31" s="2">
        <f t="shared" si="2"/>
        <v>20</v>
      </c>
      <c r="AV31" s="2">
        <f t="shared" si="3"/>
        <v>20</v>
      </c>
      <c r="AW31" s="1">
        <f t="shared" si="4"/>
        <v>3.6363636363636362</v>
      </c>
      <c r="AX31" s="2">
        <v>10</v>
      </c>
      <c r="AY31" s="2"/>
      <c r="AZ31" s="2"/>
      <c r="BA31" s="2">
        <f t="shared" si="5"/>
        <v>10</v>
      </c>
      <c r="BB31" s="2">
        <f t="shared" si="6"/>
        <v>10</v>
      </c>
      <c r="BC31" s="2">
        <v>0</v>
      </c>
      <c r="BD31" s="2">
        <v>1</v>
      </c>
      <c r="BE31" s="2">
        <v>3</v>
      </c>
      <c r="BF31" s="4">
        <f t="shared" si="7"/>
        <v>3</v>
      </c>
      <c r="BG31" s="2">
        <v>1</v>
      </c>
      <c r="BH31" s="5">
        <f t="shared" si="8"/>
        <v>0.3</v>
      </c>
      <c r="BI31" s="2">
        <v>1</v>
      </c>
      <c r="BJ31" s="2">
        <v>6</v>
      </c>
      <c r="BK31" s="2">
        <v>0</v>
      </c>
      <c r="BL31" t="s">
        <v>83</v>
      </c>
      <c r="BM31" s="2">
        <f t="shared" si="9"/>
        <v>1</v>
      </c>
      <c r="BN31" s="2">
        <v>99</v>
      </c>
      <c r="BO31" s="2">
        <v>99997</v>
      </c>
      <c r="BP31" s="2">
        <v>1</v>
      </c>
      <c r="BQ31" s="2">
        <v>97</v>
      </c>
      <c r="BR31" s="2">
        <v>1</v>
      </c>
      <c r="BS31" s="2">
        <v>1</v>
      </c>
      <c r="BT31" s="2">
        <v>1</v>
      </c>
      <c r="BU31" s="2">
        <v>1</v>
      </c>
      <c r="BV31" s="2">
        <v>1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 t="s">
        <v>130</v>
      </c>
      <c r="CL31" s="2">
        <v>97</v>
      </c>
      <c r="CM31" s="2">
        <v>5</v>
      </c>
      <c r="CN31" s="2">
        <v>2</v>
      </c>
      <c r="CO31" s="2">
        <v>1</v>
      </c>
    </row>
    <row r="32" spans="1:93">
      <c r="A32">
        <v>117</v>
      </c>
      <c r="B32" t="s">
        <v>91</v>
      </c>
      <c r="C32" s="2">
        <v>9</v>
      </c>
      <c r="D32" s="2" t="s">
        <v>162</v>
      </c>
      <c r="E32">
        <v>97</v>
      </c>
      <c r="F32" s="2">
        <v>0</v>
      </c>
      <c r="G32" s="2">
        <v>1</v>
      </c>
      <c r="H32" s="2">
        <v>9</v>
      </c>
      <c r="I32" s="2">
        <f t="shared" si="0"/>
        <v>0.65999999999999992</v>
      </c>
      <c r="J32" s="2">
        <f t="shared" si="1"/>
        <v>2.9999999999999995E-2</v>
      </c>
      <c r="K32" s="4">
        <v>0.03</v>
      </c>
      <c r="L32" s="2">
        <v>7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0</v>
      </c>
      <c r="Z32" s="2">
        <v>0</v>
      </c>
      <c r="AA32" s="2">
        <v>0</v>
      </c>
      <c r="AB32" s="2">
        <v>1</v>
      </c>
      <c r="AC32" s="2">
        <v>7</v>
      </c>
      <c r="AD32" s="2">
        <v>97</v>
      </c>
      <c r="AE32" s="2">
        <v>97</v>
      </c>
      <c r="AF32" s="2">
        <v>97</v>
      </c>
      <c r="AG32" s="2">
        <v>97</v>
      </c>
      <c r="AH32" s="2">
        <v>97</v>
      </c>
      <c r="AI32" s="2">
        <v>97</v>
      </c>
      <c r="AJ32" s="2">
        <v>97</v>
      </c>
      <c r="AK32" s="2">
        <v>97</v>
      </c>
      <c r="AL32" s="2">
        <v>97</v>
      </c>
      <c r="AM32" s="2">
        <v>97</v>
      </c>
      <c r="AN32" s="2">
        <v>97</v>
      </c>
      <c r="AO32" s="2">
        <v>97</v>
      </c>
      <c r="AP32" s="2">
        <v>1</v>
      </c>
      <c r="AQ32" s="2">
        <v>5</v>
      </c>
      <c r="AR32" s="2"/>
      <c r="AS32" s="2">
        <v>1</v>
      </c>
      <c r="AT32" s="2"/>
      <c r="AU32" s="2">
        <f t="shared" si="2"/>
        <v>333</v>
      </c>
      <c r="AV32" s="2">
        <f t="shared" si="3"/>
        <v>333</v>
      </c>
      <c r="AW32" s="1">
        <f t="shared" si="4"/>
        <v>60.545454545454547</v>
      </c>
      <c r="AX32" s="2"/>
      <c r="AY32" s="2">
        <v>1</v>
      </c>
      <c r="AZ32" s="2"/>
      <c r="BA32" s="2">
        <f t="shared" si="5"/>
        <v>333</v>
      </c>
      <c r="BB32" s="2">
        <f t="shared" si="6"/>
        <v>333</v>
      </c>
      <c r="BC32" s="2">
        <v>0</v>
      </c>
      <c r="BD32" s="2">
        <v>1</v>
      </c>
      <c r="BE32" s="2">
        <v>1</v>
      </c>
      <c r="BF32" s="4">
        <f t="shared" si="7"/>
        <v>1</v>
      </c>
      <c r="BG32" s="2">
        <v>1</v>
      </c>
      <c r="BH32" s="5">
        <f t="shared" si="8"/>
        <v>2.9999999999999995E-2</v>
      </c>
      <c r="BI32" s="2">
        <v>0</v>
      </c>
      <c r="BJ32" s="2">
        <v>2</v>
      </c>
      <c r="BK32" s="2">
        <v>0</v>
      </c>
      <c r="BL32" t="s">
        <v>83</v>
      </c>
      <c r="BM32" s="2">
        <f t="shared" si="9"/>
        <v>1</v>
      </c>
      <c r="BN32" s="2">
        <v>0</v>
      </c>
      <c r="BO32" s="2">
        <v>99997</v>
      </c>
      <c r="BP32" s="2">
        <v>1</v>
      </c>
      <c r="BQ32" s="2">
        <v>97</v>
      </c>
      <c r="BR32" s="2">
        <v>1</v>
      </c>
      <c r="BS32" s="2">
        <v>0</v>
      </c>
      <c r="BT32" s="2">
        <v>97</v>
      </c>
      <c r="BU32" s="2">
        <v>1</v>
      </c>
      <c r="BV32" s="2">
        <v>1</v>
      </c>
      <c r="BW32" s="2">
        <v>1</v>
      </c>
      <c r="BX32" s="2">
        <v>1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97</v>
      </c>
      <c r="CL32" s="2">
        <v>97</v>
      </c>
      <c r="CM32" s="2">
        <v>4</v>
      </c>
      <c r="CN32" s="2">
        <v>6</v>
      </c>
      <c r="CO32" s="2">
        <v>4</v>
      </c>
    </row>
    <row r="33" spans="1:93">
      <c r="A33">
        <v>115</v>
      </c>
      <c r="B33" t="s">
        <v>91</v>
      </c>
      <c r="C33" s="2">
        <v>7</v>
      </c>
      <c r="D33" s="2" t="s">
        <v>175</v>
      </c>
      <c r="E33">
        <v>97</v>
      </c>
      <c r="F33" s="2">
        <v>0</v>
      </c>
      <c r="G33" s="2">
        <v>1</v>
      </c>
      <c r="H33" s="2">
        <v>7</v>
      </c>
      <c r="I33" s="2">
        <f t="shared" si="0"/>
        <v>6.6</v>
      </c>
      <c r="J33" s="2">
        <f t="shared" si="1"/>
        <v>0.3</v>
      </c>
      <c r="K33" s="4">
        <v>0.3</v>
      </c>
      <c r="L33" s="2">
        <v>6</v>
      </c>
      <c r="M33" s="2">
        <v>0</v>
      </c>
      <c r="N33" s="2">
        <v>3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0</v>
      </c>
      <c r="Z33" s="2">
        <v>0</v>
      </c>
      <c r="AA33" s="2">
        <v>0</v>
      </c>
      <c r="AB33" s="2">
        <v>1</v>
      </c>
      <c r="AC33" s="2">
        <v>7</v>
      </c>
      <c r="AD33" s="2">
        <v>97</v>
      </c>
      <c r="AE33" s="2">
        <v>97</v>
      </c>
      <c r="AF33" s="2">
        <v>97</v>
      </c>
      <c r="AG33" s="2">
        <v>97</v>
      </c>
      <c r="AH33" s="2">
        <v>97</v>
      </c>
      <c r="AI33" s="2">
        <v>97</v>
      </c>
      <c r="AJ33" s="2">
        <v>97</v>
      </c>
      <c r="AK33" s="2">
        <v>97</v>
      </c>
      <c r="AL33" s="2">
        <v>97</v>
      </c>
      <c r="AM33" s="2">
        <v>97</v>
      </c>
      <c r="AN33" s="2">
        <v>97</v>
      </c>
      <c r="AO33" s="2">
        <v>97</v>
      </c>
      <c r="AP33" s="2">
        <v>1</v>
      </c>
      <c r="AQ33" s="2">
        <v>6</v>
      </c>
      <c r="AR33" s="2"/>
      <c r="AS33" s="2">
        <v>0.5</v>
      </c>
      <c r="AT33" s="2"/>
      <c r="AU33" s="2">
        <f t="shared" si="2"/>
        <v>166.5</v>
      </c>
      <c r="AV33" s="2">
        <f t="shared" si="3"/>
        <v>166.5</v>
      </c>
      <c r="AW33" s="1">
        <f t="shared" si="4"/>
        <v>30.272727272727273</v>
      </c>
      <c r="AX33" s="2"/>
      <c r="AY33" s="2">
        <v>0.25</v>
      </c>
      <c r="AZ33" s="2"/>
      <c r="BA33" s="2">
        <f t="shared" si="5"/>
        <v>83.25</v>
      </c>
      <c r="BB33" s="2">
        <f t="shared" si="6"/>
        <v>83.25</v>
      </c>
      <c r="BC33" s="2">
        <v>0</v>
      </c>
      <c r="BD33" s="2">
        <v>1</v>
      </c>
      <c r="BE33" s="2">
        <v>2</v>
      </c>
      <c r="BF33" s="4">
        <f t="shared" si="7"/>
        <v>2</v>
      </c>
      <c r="BG33" s="2">
        <v>1</v>
      </c>
      <c r="BH33" s="5">
        <f t="shared" si="8"/>
        <v>0.3</v>
      </c>
      <c r="BI33" s="2">
        <v>1</v>
      </c>
      <c r="BJ33" s="2">
        <v>4</v>
      </c>
      <c r="BK33" s="2">
        <v>0</v>
      </c>
      <c r="BL33" t="s">
        <v>83</v>
      </c>
      <c r="BM33" s="2">
        <f t="shared" si="9"/>
        <v>1</v>
      </c>
      <c r="BN33" s="2">
        <v>0</v>
      </c>
      <c r="BO33" s="2">
        <v>99997</v>
      </c>
      <c r="BP33" s="2">
        <v>1</v>
      </c>
      <c r="BQ33" s="2">
        <v>97</v>
      </c>
      <c r="BR33" s="2">
        <v>0</v>
      </c>
      <c r="BS33" s="2">
        <v>0</v>
      </c>
      <c r="BT33" s="2">
        <v>97</v>
      </c>
      <c r="BU33" s="2">
        <v>1</v>
      </c>
      <c r="BV33" s="2">
        <v>1</v>
      </c>
      <c r="BW33" s="2">
        <v>1</v>
      </c>
      <c r="BX33" s="2">
        <v>0</v>
      </c>
      <c r="BY33" s="2">
        <v>1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 t="s">
        <v>92</v>
      </c>
      <c r="CL33" s="2">
        <v>97</v>
      </c>
      <c r="CM33" s="2">
        <v>7</v>
      </c>
      <c r="CN33" s="2">
        <v>6</v>
      </c>
      <c r="CO33" s="2">
        <v>1</v>
      </c>
    </row>
    <row r="34" spans="1:93">
      <c r="A34">
        <v>109</v>
      </c>
      <c r="B34" t="s">
        <v>91</v>
      </c>
      <c r="C34" s="2">
        <v>18</v>
      </c>
      <c r="D34" s="2" t="s">
        <v>173</v>
      </c>
      <c r="E34">
        <v>97</v>
      </c>
      <c r="F34" s="2">
        <v>1</v>
      </c>
      <c r="G34" s="2">
        <v>1</v>
      </c>
      <c r="H34" s="2">
        <v>7</v>
      </c>
      <c r="I34" s="2">
        <f t="shared" ref="I34:I65" si="10">IF(H34=3,(4.5*22),IF(H34=4,(2.5*22),IF(H34=5,(1*22),IF(H34=6,(0.75*22),IF(H34=7,(0.3*22),IF(H34=8,(0.091*22),IF(H34=9,(0.03*22))))))))</f>
        <v>6.6</v>
      </c>
      <c r="J34" s="2">
        <f t="shared" ref="J34:J65" si="11">I34/22</f>
        <v>0.3</v>
      </c>
      <c r="K34" s="4">
        <v>0.3</v>
      </c>
      <c r="L34" s="2">
        <v>6</v>
      </c>
      <c r="M34" s="2">
        <v>0</v>
      </c>
      <c r="N34" s="2">
        <v>3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0</v>
      </c>
      <c r="Y34" s="2">
        <v>0</v>
      </c>
      <c r="Z34" s="2">
        <v>0</v>
      </c>
      <c r="AA34" s="2">
        <v>98</v>
      </c>
      <c r="AB34" s="2">
        <v>1</v>
      </c>
      <c r="AC34" s="2">
        <v>7</v>
      </c>
      <c r="AD34" s="2">
        <v>97</v>
      </c>
      <c r="AE34" s="2">
        <v>97</v>
      </c>
      <c r="AF34" s="2">
        <v>97</v>
      </c>
      <c r="AG34" s="2">
        <v>97</v>
      </c>
      <c r="AH34" s="2">
        <v>97</v>
      </c>
      <c r="AI34" s="2">
        <v>97</v>
      </c>
      <c r="AJ34" s="2">
        <v>97</v>
      </c>
      <c r="AK34" s="2">
        <v>97</v>
      </c>
      <c r="AL34" s="2">
        <v>97</v>
      </c>
      <c r="AM34" s="2">
        <v>97</v>
      </c>
      <c r="AN34" s="2">
        <v>97</v>
      </c>
      <c r="AO34" s="2">
        <v>97</v>
      </c>
      <c r="AP34" s="2">
        <v>1</v>
      </c>
      <c r="AQ34" s="2">
        <v>6</v>
      </c>
      <c r="AR34" s="2"/>
      <c r="AS34" s="2">
        <v>1</v>
      </c>
      <c r="AT34" s="2"/>
      <c r="AU34" s="2">
        <f t="shared" ref="AU34:AU65" si="12">AR34+(AS34*333)+(AT34*333)</f>
        <v>333</v>
      </c>
      <c r="AV34" s="2">
        <f t="shared" ref="AV34:AV65" si="13">IF(AU34=99999,0,IF(AU34=99998,0,AU34))</f>
        <v>333</v>
      </c>
      <c r="AW34" s="1">
        <f t="shared" ref="AW34:AW65" si="14">AV34/5.5</f>
        <v>60.545454545454547</v>
      </c>
      <c r="AX34" s="2"/>
      <c r="AY34" s="2">
        <v>1</v>
      </c>
      <c r="AZ34" s="2"/>
      <c r="BA34" s="2">
        <f t="shared" ref="BA34:BA65" si="15">AX34+(AY34*333)+(AZ34*333)</f>
        <v>333</v>
      </c>
      <c r="BB34" s="2">
        <f t="shared" ref="BB34:BB65" si="16">IF(BA34=99999,0,IF(BA34=99998,0,IF(BA34=99997,0,BA34)))</f>
        <v>333</v>
      </c>
      <c r="BC34" s="2">
        <v>1</v>
      </c>
      <c r="BD34" s="2">
        <v>1</v>
      </c>
      <c r="BE34" s="2">
        <v>1</v>
      </c>
      <c r="BF34" s="4">
        <f t="shared" ref="BF34:BF65" si="17">IF(BE34=99,0,IF(BE34=98,0,IF(BE34=97,0,BE34)))</f>
        <v>1</v>
      </c>
      <c r="BG34" s="2">
        <v>1</v>
      </c>
      <c r="BH34" s="5">
        <f t="shared" ref="BH34:BH65" si="18">IF(BG34&lt;97,(BG34*J34),0)</f>
        <v>0.3</v>
      </c>
      <c r="BI34" s="2">
        <v>98</v>
      </c>
      <c r="BJ34" s="2">
        <v>6</v>
      </c>
      <c r="BK34" s="2">
        <v>0</v>
      </c>
      <c r="BL34" t="s">
        <v>83</v>
      </c>
      <c r="BM34" s="2">
        <f t="shared" ref="BM34:BM65" si="19">IF(BL34="Dør",1,0)</f>
        <v>1</v>
      </c>
      <c r="BN34" s="2">
        <v>0</v>
      </c>
      <c r="BO34" s="2">
        <v>99997</v>
      </c>
      <c r="BP34" s="2">
        <v>1</v>
      </c>
      <c r="BQ34" s="2">
        <v>97</v>
      </c>
      <c r="BR34" s="2">
        <v>1</v>
      </c>
      <c r="BS34" s="2">
        <v>0</v>
      </c>
      <c r="BT34" s="2">
        <v>97</v>
      </c>
      <c r="BU34" s="2">
        <v>1</v>
      </c>
      <c r="BV34" s="2">
        <v>1</v>
      </c>
      <c r="BW34" s="2">
        <v>1</v>
      </c>
      <c r="BX34" s="2">
        <v>0</v>
      </c>
      <c r="BY34" s="2">
        <v>1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97</v>
      </c>
      <c r="CL34" s="2">
        <v>97</v>
      </c>
      <c r="CM34" s="2">
        <v>98</v>
      </c>
      <c r="CN34" s="2">
        <v>1</v>
      </c>
      <c r="CO34" s="2">
        <v>1</v>
      </c>
    </row>
    <row r="35" spans="1:93">
      <c r="A35">
        <v>103</v>
      </c>
      <c r="B35" t="s">
        <v>128</v>
      </c>
      <c r="C35" s="2">
        <v>97</v>
      </c>
      <c r="D35" s="2" t="s">
        <v>168</v>
      </c>
      <c r="E35" t="s">
        <v>129</v>
      </c>
      <c r="F35" s="2">
        <v>0</v>
      </c>
      <c r="G35" s="2">
        <v>0</v>
      </c>
      <c r="H35" s="2">
        <v>8</v>
      </c>
      <c r="I35" s="2">
        <f t="shared" si="10"/>
        <v>2.0019999999999998</v>
      </c>
      <c r="J35" s="2">
        <f t="shared" si="11"/>
        <v>9.0999999999999984E-2</v>
      </c>
      <c r="K35" s="4">
        <v>9.0999999999999998E-2</v>
      </c>
      <c r="L35" s="2">
        <v>6</v>
      </c>
      <c r="M35" s="2">
        <v>0</v>
      </c>
      <c r="N35" s="2">
        <v>3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1</v>
      </c>
      <c r="AC35" s="2">
        <v>5</v>
      </c>
      <c r="AD35" s="2">
        <v>97</v>
      </c>
      <c r="AE35" s="2">
        <v>97</v>
      </c>
      <c r="AF35" s="2">
        <v>97</v>
      </c>
      <c r="AG35" s="2">
        <v>97</v>
      </c>
      <c r="AH35" s="2">
        <v>97</v>
      </c>
      <c r="AI35" s="2">
        <v>97</v>
      </c>
      <c r="AJ35" s="2">
        <v>97</v>
      </c>
      <c r="AK35" s="2">
        <v>97</v>
      </c>
      <c r="AL35" s="2">
        <v>97</v>
      </c>
      <c r="AM35" s="2">
        <v>97</v>
      </c>
      <c r="AN35" s="2">
        <v>97</v>
      </c>
      <c r="AO35" s="2">
        <v>97</v>
      </c>
      <c r="AP35" s="2">
        <v>1</v>
      </c>
      <c r="AQ35" s="2">
        <v>6</v>
      </c>
      <c r="AR35" s="2">
        <v>10</v>
      </c>
      <c r="AS35" s="2"/>
      <c r="AT35" s="2"/>
      <c r="AU35" s="2">
        <f t="shared" si="12"/>
        <v>10</v>
      </c>
      <c r="AV35" s="2">
        <f t="shared" si="13"/>
        <v>10</v>
      </c>
      <c r="AW35" s="1">
        <f t="shared" si="14"/>
        <v>1.8181818181818181</v>
      </c>
      <c r="AX35" s="2">
        <v>5</v>
      </c>
      <c r="AY35" s="2"/>
      <c r="AZ35" s="2"/>
      <c r="BA35" s="2">
        <f t="shared" si="15"/>
        <v>5</v>
      </c>
      <c r="BB35" s="2">
        <f t="shared" si="16"/>
        <v>5</v>
      </c>
      <c r="BC35" s="2">
        <v>0</v>
      </c>
      <c r="BD35" s="2">
        <v>1</v>
      </c>
      <c r="BE35" s="2">
        <v>1</v>
      </c>
      <c r="BF35" s="4">
        <f t="shared" si="17"/>
        <v>1</v>
      </c>
      <c r="BG35" s="2">
        <v>1</v>
      </c>
      <c r="BH35" s="5">
        <f t="shared" si="18"/>
        <v>9.0999999999999984E-2</v>
      </c>
      <c r="BI35" s="2">
        <v>0</v>
      </c>
      <c r="BJ35" s="2">
        <v>2</v>
      </c>
      <c r="BK35" s="2">
        <v>0</v>
      </c>
      <c r="BL35" t="s">
        <v>83</v>
      </c>
      <c r="BM35" s="2">
        <f t="shared" si="19"/>
        <v>1</v>
      </c>
      <c r="BN35" s="2">
        <v>0</v>
      </c>
      <c r="BO35" s="2">
        <v>99997</v>
      </c>
      <c r="BP35" s="2">
        <v>1</v>
      </c>
      <c r="BQ35" s="2">
        <v>97</v>
      </c>
      <c r="BR35" s="2">
        <v>1</v>
      </c>
      <c r="BS35" s="2">
        <v>0</v>
      </c>
      <c r="BT35" s="2">
        <v>97</v>
      </c>
      <c r="BU35" s="2">
        <v>1</v>
      </c>
      <c r="BV35" s="2">
        <v>1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97</v>
      </c>
      <c r="CL35" s="2">
        <v>97</v>
      </c>
      <c r="CM35" s="2">
        <v>98</v>
      </c>
      <c r="CN35" s="2">
        <v>5</v>
      </c>
      <c r="CO35" s="2">
        <v>99</v>
      </c>
    </row>
    <row r="36" spans="1:93">
      <c r="A36">
        <v>102</v>
      </c>
      <c r="B36" t="s">
        <v>91</v>
      </c>
      <c r="C36" s="2">
        <v>9</v>
      </c>
      <c r="D36" s="2" t="s">
        <v>162</v>
      </c>
      <c r="E36">
        <v>97</v>
      </c>
      <c r="F36" s="2">
        <v>0</v>
      </c>
      <c r="G36" s="2">
        <v>0</v>
      </c>
      <c r="H36" s="2">
        <v>8</v>
      </c>
      <c r="I36" s="2">
        <f t="shared" si="10"/>
        <v>2.0019999999999998</v>
      </c>
      <c r="J36" s="2">
        <f t="shared" si="11"/>
        <v>9.0999999999999984E-2</v>
      </c>
      <c r="K36" s="4">
        <v>9.0999999999999998E-2</v>
      </c>
      <c r="L36" s="2">
        <v>6</v>
      </c>
      <c r="M36" s="2">
        <v>1</v>
      </c>
      <c r="N36" s="2">
        <v>3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1</v>
      </c>
      <c r="AB36" s="2">
        <v>1</v>
      </c>
      <c r="AC36" s="2">
        <v>6</v>
      </c>
      <c r="AD36" s="2">
        <v>97</v>
      </c>
      <c r="AE36" s="2">
        <v>97</v>
      </c>
      <c r="AF36" s="2">
        <v>97</v>
      </c>
      <c r="AG36" s="2">
        <v>97</v>
      </c>
      <c r="AH36" s="2">
        <v>97</v>
      </c>
      <c r="AI36" s="2">
        <v>97</v>
      </c>
      <c r="AJ36" s="2">
        <v>97</v>
      </c>
      <c r="AK36" s="2">
        <v>97</v>
      </c>
      <c r="AL36" s="2">
        <v>97</v>
      </c>
      <c r="AM36" s="2">
        <v>97</v>
      </c>
      <c r="AN36" s="2">
        <v>97</v>
      </c>
      <c r="AO36" s="2">
        <v>97</v>
      </c>
      <c r="AP36" s="2">
        <v>1</v>
      </c>
      <c r="AQ36" s="2">
        <v>4</v>
      </c>
      <c r="AR36" s="2">
        <v>50</v>
      </c>
      <c r="AS36" s="2"/>
      <c r="AT36" s="2"/>
      <c r="AU36" s="2">
        <f t="shared" si="12"/>
        <v>50</v>
      </c>
      <c r="AV36" s="2">
        <f t="shared" si="13"/>
        <v>50</v>
      </c>
      <c r="AW36" s="1">
        <f t="shared" si="14"/>
        <v>9.0909090909090917</v>
      </c>
      <c r="AX36" s="2">
        <v>20</v>
      </c>
      <c r="AY36" s="2"/>
      <c r="AZ36" s="2"/>
      <c r="BA36" s="2">
        <f t="shared" si="15"/>
        <v>20</v>
      </c>
      <c r="BB36" s="2">
        <f t="shared" si="16"/>
        <v>20</v>
      </c>
      <c r="BC36" s="2">
        <v>0</v>
      </c>
      <c r="BD36" s="2">
        <v>1</v>
      </c>
      <c r="BE36" s="2">
        <v>3</v>
      </c>
      <c r="BF36" s="4">
        <f t="shared" si="17"/>
        <v>3</v>
      </c>
      <c r="BG36" s="2">
        <v>1</v>
      </c>
      <c r="BH36" s="5">
        <f t="shared" si="18"/>
        <v>9.0999999999999984E-2</v>
      </c>
      <c r="BI36" s="2">
        <v>0</v>
      </c>
      <c r="BJ36" s="2">
        <v>1</v>
      </c>
      <c r="BK36" s="2">
        <v>0</v>
      </c>
      <c r="BL36" t="s">
        <v>83</v>
      </c>
      <c r="BM36" s="2">
        <f t="shared" si="19"/>
        <v>1</v>
      </c>
      <c r="BN36" s="2">
        <v>1</v>
      </c>
      <c r="BO36" s="2">
        <v>20</v>
      </c>
      <c r="BP36" s="2">
        <v>1</v>
      </c>
      <c r="BQ36" s="2">
        <v>97</v>
      </c>
      <c r="BR36" s="2">
        <v>0</v>
      </c>
      <c r="BS36" s="2">
        <v>0</v>
      </c>
      <c r="BT36" s="2">
        <v>97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 t="s">
        <v>127</v>
      </c>
      <c r="CL36" s="2">
        <v>97</v>
      </c>
      <c r="CM36" s="2">
        <v>98</v>
      </c>
      <c r="CN36" s="2">
        <v>5</v>
      </c>
      <c r="CO36" s="2">
        <v>2</v>
      </c>
    </row>
    <row r="37" spans="1:93">
      <c r="A37">
        <v>97</v>
      </c>
      <c r="B37" t="s">
        <v>81</v>
      </c>
      <c r="C37" s="2">
        <v>97</v>
      </c>
      <c r="D37" s="2" t="s">
        <v>168</v>
      </c>
      <c r="E37" t="s">
        <v>126</v>
      </c>
      <c r="F37" s="2">
        <v>0</v>
      </c>
      <c r="G37" s="2">
        <v>1</v>
      </c>
      <c r="H37" s="2">
        <v>7</v>
      </c>
      <c r="I37" s="2">
        <f t="shared" si="10"/>
        <v>6.6</v>
      </c>
      <c r="J37" s="2">
        <f t="shared" si="11"/>
        <v>0.3</v>
      </c>
      <c r="K37" s="4">
        <v>0.3</v>
      </c>
      <c r="L37" s="2">
        <v>4</v>
      </c>
      <c r="M37" s="2">
        <v>0</v>
      </c>
      <c r="N37" s="2">
        <v>3</v>
      </c>
      <c r="O37" s="2">
        <v>0</v>
      </c>
      <c r="P37" s="2">
        <v>0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0</v>
      </c>
      <c r="Z37" s="2">
        <v>0</v>
      </c>
      <c r="AA37" s="2">
        <v>0</v>
      </c>
      <c r="AB37" s="2">
        <v>1</v>
      </c>
      <c r="AC37" s="2">
        <v>6</v>
      </c>
      <c r="AD37" s="2">
        <v>97</v>
      </c>
      <c r="AE37" s="2">
        <v>97</v>
      </c>
      <c r="AF37" s="2">
        <v>97</v>
      </c>
      <c r="AG37" s="2">
        <v>97</v>
      </c>
      <c r="AH37" s="2">
        <v>97</v>
      </c>
      <c r="AI37" s="2">
        <v>97</v>
      </c>
      <c r="AJ37" s="2">
        <v>97</v>
      </c>
      <c r="AK37" s="2">
        <v>97</v>
      </c>
      <c r="AL37" s="2">
        <v>97</v>
      </c>
      <c r="AM37" s="2">
        <v>97</v>
      </c>
      <c r="AN37" s="2">
        <v>97</v>
      </c>
      <c r="AO37" s="2">
        <v>97</v>
      </c>
      <c r="AP37" s="2">
        <v>3</v>
      </c>
      <c r="AQ37" s="2">
        <v>7</v>
      </c>
      <c r="AR37" s="2">
        <v>3000</v>
      </c>
      <c r="AS37" s="2"/>
      <c r="AT37" s="2"/>
      <c r="AU37" s="2">
        <f t="shared" si="12"/>
        <v>3000</v>
      </c>
      <c r="AV37" s="2">
        <f t="shared" si="13"/>
        <v>3000</v>
      </c>
      <c r="AW37" s="1">
        <f t="shared" si="14"/>
        <v>545.4545454545455</v>
      </c>
      <c r="AX37" s="2">
        <v>3000</v>
      </c>
      <c r="AY37" s="2"/>
      <c r="AZ37" s="2"/>
      <c r="BA37" s="2">
        <f t="shared" si="15"/>
        <v>3000</v>
      </c>
      <c r="BB37" s="2">
        <f t="shared" si="16"/>
        <v>3000</v>
      </c>
      <c r="BC37" s="2">
        <v>0</v>
      </c>
      <c r="BD37" s="2">
        <v>1</v>
      </c>
      <c r="BE37" s="2">
        <v>1</v>
      </c>
      <c r="BF37" s="4">
        <f t="shared" si="17"/>
        <v>1</v>
      </c>
      <c r="BG37" s="2">
        <v>1</v>
      </c>
      <c r="BH37" s="5">
        <f t="shared" si="18"/>
        <v>0.3</v>
      </c>
      <c r="BI37" s="2">
        <v>0</v>
      </c>
      <c r="BJ37" s="2">
        <v>4</v>
      </c>
      <c r="BK37" s="2">
        <v>0</v>
      </c>
      <c r="BL37" t="s">
        <v>83</v>
      </c>
      <c r="BM37" s="2">
        <f t="shared" si="19"/>
        <v>1</v>
      </c>
      <c r="BN37" s="2">
        <v>0</v>
      </c>
      <c r="BO37" s="2">
        <v>99997</v>
      </c>
      <c r="BP37" s="2">
        <v>3</v>
      </c>
      <c r="BQ37" s="2">
        <v>97</v>
      </c>
      <c r="BR37" s="2">
        <v>1</v>
      </c>
      <c r="BS37" s="2">
        <v>0</v>
      </c>
      <c r="BT37" s="2">
        <v>97</v>
      </c>
      <c r="BU37" s="2">
        <v>1</v>
      </c>
      <c r="BV37" s="2">
        <v>1</v>
      </c>
      <c r="BW37" s="2">
        <v>0</v>
      </c>
      <c r="BX37" s="2">
        <v>0</v>
      </c>
      <c r="BY37" s="2">
        <v>1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>
        <v>0</v>
      </c>
      <c r="CH37" s="2">
        <v>0</v>
      </c>
      <c r="CI37" s="2">
        <v>0</v>
      </c>
      <c r="CJ37" s="2">
        <v>0</v>
      </c>
      <c r="CK37" s="2" t="s">
        <v>122</v>
      </c>
      <c r="CL37" s="2">
        <v>97</v>
      </c>
      <c r="CM37" s="2">
        <v>7</v>
      </c>
      <c r="CN37" s="2">
        <v>2</v>
      </c>
      <c r="CO37" s="2">
        <v>1</v>
      </c>
    </row>
    <row r="38" spans="1:93">
      <c r="A38">
        <v>96</v>
      </c>
      <c r="B38" t="s">
        <v>123</v>
      </c>
      <c r="C38" s="2">
        <v>97</v>
      </c>
      <c r="D38" s="2" t="s">
        <v>168</v>
      </c>
      <c r="E38" t="s">
        <v>124</v>
      </c>
      <c r="F38" s="2">
        <v>0</v>
      </c>
      <c r="G38" s="2">
        <v>0</v>
      </c>
      <c r="H38" s="2">
        <v>5</v>
      </c>
      <c r="I38" s="2">
        <f t="shared" si="10"/>
        <v>22</v>
      </c>
      <c r="J38" s="2">
        <f t="shared" si="11"/>
        <v>1</v>
      </c>
      <c r="K38" s="4">
        <v>1</v>
      </c>
      <c r="L38" s="2">
        <v>5</v>
      </c>
      <c r="M38" s="2">
        <v>1</v>
      </c>
      <c r="N38" s="2">
        <v>3</v>
      </c>
      <c r="O38" s="2">
        <v>0</v>
      </c>
      <c r="P38" s="2">
        <v>0</v>
      </c>
      <c r="Q38" s="2">
        <v>1</v>
      </c>
      <c r="R38" s="2">
        <v>1</v>
      </c>
      <c r="S38" s="2">
        <v>1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1</v>
      </c>
      <c r="AC38" s="2">
        <v>5</v>
      </c>
      <c r="AD38" s="2">
        <v>97</v>
      </c>
      <c r="AE38" s="2">
        <v>97</v>
      </c>
      <c r="AF38" s="2">
        <v>97</v>
      </c>
      <c r="AG38" s="2">
        <v>97</v>
      </c>
      <c r="AH38" s="2">
        <v>97</v>
      </c>
      <c r="AI38" s="2">
        <v>97</v>
      </c>
      <c r="AJ38" s="2">
        <v>97</v>
      </c>
      <c r="AK38" s="2">
        <v>97</v>
      </c>
      <c r="AL38" s="2">
        <v>97</v>
      </c>
      <c r="AM38" s="2">
        <v>97</v>
      </c>
      <c r="AN38" s="2">
        <v>97</v>
      </c>
      <c r="AO38" s="2">
        <v>97</v>
      </c>
      <c r="AP38" s="2">
        <v>1</v>
      </c>
      <c r="AQ38" s="2">
        <v>6</v>
      </c>
      <c r="AR38" s="2"/>
      <c r="AS38" s="2">
        <v>4</v>
      </c>
      <c r="AT38" s="2"/>
      <c r="AU38" s="2">
        <f t="shared" si="12"/>
        <v>1332</v>
      </c>
      <c r="AV38" s="2">
        <f t="shared" si="13"/>
        <v>1332</v>
      </c>
      <c r="AW38" s="1">
        <f t="shared" si="14"/>
        <v>242.18181818181819</v>
      </c>
      <c r="AX38" s="2"/>
      <c r="AY38" s="2">
        <v>1</v>
      </c>
      <c r="AZ38" s="2"/>
      <c r="BA38" s="2">
        <f t="shared" si="15"/>
        <v>333</v>
      </c>
      <c r="BB38" s="2">
        <f t="shared" si="16"/>
        <v>333</v>
      </c>
      <c r="BC38" s="2">
        <v>0</v>
      </c>
      <c r="BD38" s="2">
        <v>0</v>
      </c>
      <c r="BE38" s="2">
        <v>4</v>
      </c>
      <c r="BF38" s="4">
        <f t="shared" si="17"/>
        <v>4</v>
      </c>
      <c r="BG38" s="2">
        <v>1</v>
      </c>
      <c r="BH38" s="5">
        <f t="shared" si="18"/>
        <v>1</v>
      </c>
      <c r="BI38" s="2">
        <v>0</v>
      </c>
      <c r="BJ38" s="2">
        <v>3</v>
      </c>
      <c r="BK38" s="2">
        <v>1</v>
      </c>
      <c r="BL38" s="3">
        <v>97</v>
      </c>
      <c r="BM38" s="2">
        <f t="shared" si="19"/>
        <v>0</v>
      </c>
      <c r="BN38" s="2">
        <v>0</v>
      </c>
      <c r="BO38" s="2">
        <v>99997</v>
      </c>
      <c r="BP38" s="2">
        <v>1</v>
      </c>
      <c r="BQ38" s="2">
        <v>97</v>
      </c>
      <c r="BR38" s="2">
        <v>1</v>
      </c>
      <c r="BS38" s="2">
        <v>1</v>
      </c>
      <c r="BT38" s="2">
        <v>1</v>
      </c>
      <c r="BU38" s="2">
        <v>1</v>
      </c>
      <c r="BV38" s="2">
        <v>1</v>
      </c>
      <c r="BW38" s="2">
        <v>0</v>
      </c>
      <c r="BX38" s="2">
        <v>0</v>
      </c>
      <c r="BY38" s="2">
        <v>1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1</v>
      </c>
      <c r="CG38" s="2">
        <v>1</v>
      </c>
      <c r="CH38" s="2">
        <v>0</v>
      </c>
      <c r="CI38" s="2">
        <v>0</v>
      </c>
      <c r="CJ38" s="2">
        <v>0</v>
      </c>
      <c r="CK38" s="2" t="s">
        <v>125</v>
      </c>
      <c r="CL38" s="2">
        <v>97</v>
      </c>
      <c r="CM38" s="2">
        <v>4</v>
      </c>
      <c r="CN38" s="2">
        <v>5</v>
      </c>
      <c r="CO38" s="2">
        <v>1</v>
      </c>
    </row>
    <row r="39" spans="1:93">
      <c r="A39">
        <v>93</v>
      </c>
      <c r="B39" t="s">
        <v>121</v>
      </c>
      <c r="C39" s="2">
        <v>97</v>
      </c>
      <c r="D39" s="2" t="s">
        <v>168</v>
      </c>
      <c r="E39" t="s">
        <v>121</v>
      </c>
      <c r="F39" s="2">
        <v>0</v>
      </c>
      <c r="G39" s="2">
        <v>0</v>
      </c>
      <c r="H39" s="2">
        <v>4</v>
      </c>
      <c r="I39" s="2">
        <f t="shared" si="10"/>
        <v>55</v>
      </c>
      <c r="J39" s="2">
        <f t="shared" si="11"/>
        <v>2.5</v>
      </c>
      <c r="K39" s="4">
        <v>1</v>
      </c>
      <c r="L39" s="2">
        <v>5</v>
      </c>
      <c r="M39" s="2">
        <v>0</v>
      </c>
      <c r="N39" s="2">
        <v>3</v>
      </c>
      <c r="O39" s="2">
        <v>99</v>
      </c>
      <c r="P39" s="2">
        <v>99</v>
      </c>
      <c r="Q39" s="2">
        <v>99</v>
      </c>
      <c r="R39" s="2">
        <v>99</v>
      </c>
      <c r="S39" s="2">
        <v>99</v>
      </c>
      <c r="T39" s="2">
        <v>99</v>
      </c>
      <c r="U39" s="2">
        <v>99</v>
      </c>
      <c r="V39" s="2">
        <v>99</v>
      </c>
      <c r="W39" s="2">
        <v>99</v>
      </c>
      <c r="X39" s="2">
        <v>99</v>
      </c>
      <c r="Y39" s="2">
        <v>99</v>
      </c>
      <c r="Z39" s="2">
        <v>99</v>
      </c>
      <c r="AA39" s="2">
        <v>0</v>
      </c>
      <c r="AB39" s="2">
        <v>1</v>
      </c>
      <c r="AC39" s="2">
        <v>5</v>
      </c>
      <c r="AD39" s="2">
        <v>97</v>
      </c>
      <c r="AE39" s="2">
        <v>97</v>
      </c>
      <c r="AF39" s="2">
        <v>97</v>
      </c>
      <c r="AG39" s="2">
        <v>97</v>
      </c>
      <c r="AH39" s="2">
        <v>97</v>
      </c>
      <c r="AI39" s="2">
        <v>97</v>
      </c>
      <c r="AJ39" s="2">
        <v>97</v>
      </c>
      <c r="AK39" s="2">
        <v>97</v>
      </c>
      <c r="AL39" s="2">
        <v>97</v>
      </c>
      <c r="AM39" s="2">
        <v>97</v>
      </c>
      <c r="AN39" s="2">
        <v>97</v>
      </c>
      <c r="AO39" s="2">
        <v>97</v>
      </c>
      <c r="AP39" s="2">
        <v>3</v>
      </c>
      <c r="AQ39" s="2">
        <v>6</v>
      </c>
      <c r="AR39" s="2">
        <v>5</v>
      </c>
      <c r="AS39" s="2"/>
      <c r="AT39" s="2"/>
      <c r="AU39" s="2">
        <f t="shared" si="12"/>
        <v>5</v>
      </c>
      <c r="AV39" s="2">
        <f t="shared" si="13"/>
        <v>5</v>
      </c>
      <c r="AW39" s="1">
        <f t="shared" si="14"/>
        <v>0.90909090909090906</v>
      </c>
      <c r="AX39" s="2">
        <v>1</v>
      </c>
      <c r="AY39" s="2"/>
      <c r="AZ39" s="2"/>
      <c r="BA39" s="2">
        <f t="shared" si="15"/>
        <v>1</v>
      </c>
      <c r="BB39" s="2">
        <f t="shared" si="16"/>
        <v>1</v>
      </c>
      <c r="BC39" s="2">
        <v>1</v>
      </c>
      <c r="BD39" s="2">
        <v>1</v>
      </c>
      <c r="BE39" s="2">
        <v>15</v>
      </c>
      <c r="BF39" s="4">
        <f t="shared" si="17"/>
        <v>15</v>
      </c>
      <c r="BG39" s="2">
        <v>1</v>
      </c>
      <c r="BH39" s="5">
        <f t="shared" si="18"/>
        <v>2.5</v>
      </c>
      <c r="BI39" s="2">
        <v>0</v>
      </c>
      <c r="BJ39" s="2">
        <v>5</v>
      </c>
      <c r="BK39" s="2">
        <v>0</v>
      </c>
      <c r="BL39" t="s">
        <v>83</v>
      </c>
      <c r="BM39" s="2">
        <f t="shared" si="19"/>
        <v>1</v>
      </c>
      <c r="BN39" s="2">
        <v>0</v>
      </c>
      <c r="BO39" s="2">
        <v>99997</v>
      </c>
      <c r="BP39" s="2">
        <v>1</v>
      </c>
      <c r="BQ39" s="2">
        <v>97</v>
      </c>
      <c r="BR39" s="2">
        <v>1</v>
      </c>
      <c r="BS39" s="2">
        <v>0</v>
      </c>
      <c r="BT39" s="2">
        <v>97</v>
      </c>
      <c r="BU39" s="2">
        <v>1</v>
      </c>
      <c r="BV39" s="2">
        <v>1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 t="s">
        <v>122</v>
      </c>
      <c r="CL39" s="2">
        <v>97</v>
      </c>
      <c r="CM39" s="2">
        <v>98</v>
      </c>
      <c r="CN39" s="2">
        <v>5</v>
      </c>
      <c r="CO39" s="2">
        <v>5</v>
      </c>
    </row>
    <row r="40" spans="1:93">
      <c r="A40">
        <v>92</v>
      </c>
      <c r="B40">
        <v>0</v>
      </c>
      <c r="C40" s="2">
        <v>5</v>
      </c>
      <c r="D40" s="2" t="s">
        <v>160</v>
      </c>
      <c r="E40">
        <v>97</v>
      </c>
      <c r="F40" s="2">
        <v>1</v>
      </c>
      <c r="G40" s="2">
        <v>1</v>
      </c>
      <c r="H40" s="2">
        <v>4</v>
      </c>
      <c r="I40" s="2">
        <f t="shared" si="10"/>
        <v>55</v>
      </c>
      <c r="J40" s="2">
        <f t="shared" si="11"/>
        <v>2.5</v>
      </c>
      <c r="K40" s="4">
        <v>1</v>
      </c>
      <c r="L40" s="2">
        <v>6</v>
      </c>
      <c r="M40" s="2">
        <v>1</v>
      </c>
      <c r="N40" s="2">
        <v>3</v>
      </c>
      <c r="O40" s="2">
        <v>0</v>
      </c>
      <c r="P40" s="2">
        <v>0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1</v>
      </c>
      <c r="AC40" s="2">
        <v>5</v>
      </c>
      <c r="AD40" s="2">
        <v>97</v>
      </c>
      <c r="AE40" s="2">
        <v>97</v>
      </c>
      <c r="AF40" s="2">
        <v>97</v>
      </c>
      <c r="AG40" s="2">
        <v>97</v>
      </c>
      <c r="AH40" s="2">
        <v>97</v>
      </c>
      <c r="AI40" s="2">
        <v>97</v>
      </c>
      <c r="AJ40" s="2">
        <v>97</v>
      </c>
      <c r="AK40" s="2">
        <v>97</v>
      </c>
      <c r="AL40" s="2">
        <v>97</v>
      </c>
      <c r="AM40" s="2">
        <v>97</v>
      </c>
      <c r="AN40" s="2">
        <v>97</v>
      </c>
      <c r="AO40" s="2">
        <v>97</v>
      </c>
      <c r="AP40" s="2">
        <v>3</v>
      </c>
      <c r="AQ40" s="2">
        <v>6</v>
      </c>
      <c r="AR40" s="2">
        <v>50</v>
      </c>
      <c r="AS40" s="2"/>
      <c r="AT40" s="2"/>
      <c r="AU40" s="2">
        <f t="shared" si="12"/>
        <v>50</v>
      </c>
      <c r="AV40" s="2">
        <f t="shared" si="13"/>
        <v>50</v>
      </c>
      <c r="AW40" s="1">
        <f t="shared" si="14"/>
        <v>9.0909090909090917</v>
      </c>
      <c r="AX40" s="2">
        <v>8</v>
      </c>
      <c r="AY40" s="2"/>
      <c r="AZ40" s="2"/>
      <c r="BA40" s="2">
        <f t="shared" si="15"/>
        <v>8</v>
      </c>
      <c r="BB40" s="2">
        <f t="shared" si="16"/>
        <v>8</v>
      </c>
      <c r="BC40" s="2">
        <v>0</v>
      </c>
      <c r="BD40" s="2">
        <v>1</v>
      </c>
      <c r="BE40" s="2">
        <v>10</v>
      </c>
      <c r="BF40" s="4">
        <f t="shared" si="17"/>
        <v>10</v>
      </c>
      <c r="BG40" s="2">
        <v>5</v>
      </c>
      <c r="BH40" s="5">
        <f t="shared" si="18"/>
        <v>12.5</v>
      </c>
      <c r="BI40" s="2">
        <v>1</v>
      </c>
      <c r="BJ40" s="2">
        <v>4</v>
      </c>
      <c r="BK40" s="2">
        <v>0</v>
      </c>
      <c r="BL40" t="s">
        <v>83</v>
      </c>
      <c r="BM40" s="2">
        <f t="shared" si="19"/>
        <v>1</v>
      </c>
      <c r="BN40" s="2">
        <v>0</v>
      </c>
      <c r="BO40" s="2">
        <v>99997</v>
      </c>
      <c r="BP40" s="2">
        <v>1</v>
      </c>
      <c r="BQ40" s="2">
        <v>97</v>
      </c>
      <c r="BR40" s="2">
        <v>1</v>
      </c>
      <c r="BS40" s="2">
        <v>0</v>
      </c>
      <c r="BT40" s="2">
        <v>97</v>
      </c>
      <c r="BU40" s="2">
        <v>1</v>
      </c>
      <c r="BV40" s="2">
        <v>1</v>
      </c>
      <c r="BW40" s="2">
        <v>1</v>
      </c>
      <c r="BX40" s="2">
        <v>0</v>
      </c>
      <c r="BY40" s="2">
        <v>1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97</v>
      </c>
      <c r="CL40" s="2">
        <v>97</v>
      </c>
      <c r="CM40" s="2">
        <v>6</v>
      </c>
      <c r="CN40" s="2">
        <v>5</v>
      </c>
      <c r="CO40" s="2">
        <v>3</v>
      </c>
    </row>
    <row r="41" spans="1:93">
      <c r="A41">
        <v>91</v>
      </c>
      <c r="B41">
        <v>0</v>
      </c>
      <c r="C41" s="2">
        <v>5</v>
      </c>
      <c r="D41" s="2" t="s">
        <v>160</v>
      </c>
      <c r="E41">
        <v>97</v>
      </c>
      <c r="F41" s="2">
        <v>1</v>
      </c>
      <c r="G41" s="2">
        <v>1</v>
      </c>
      <c r="H41" s="2">
        <v>4</v>
      </c>
      <c r="I41" s="2">
        <f t="shared" si="10"/>
        <v>55</v>
      </c>
      <c r="J41" s="2">
        <f t="shared" si="11"/>
        <v>2.5</v>
      </c>
      <c r="K41" s="4">
        <v>1</v>
      </c>
      <c r="L41" s="2">
        <v>6</v>
      </c>
      <c r="M41" s="2">
        <v>1</v>
      </c>
      <c r="N41" s="2">
        <v>3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1</v>
      </c>
      <c r="U41" s="2">
        <v>1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1</v>
      </c>
      <c r="AC41" s="2">
        <v>5</v>
      </c>
      <c r="AD41" s="2">
        <v>97</v>
      </c>
      <c r="AE41" s="2">
        <v>97</v>
      </c>
      <c r="AF41" s="2">
        <v>97</v>
      </c>
      <c r="AG41" s="2">
        <v>97</v>
      </c>
      <c r="AH41" s="2">
        <v>97</v>
      </c>
      <c r="AI41" s="2">
        <v>97</v>
      </c>
      <c r="AJ41" s="2">
        <v>97</v>
      </c>
      <c r="AK41" s="2">
        <v>97</v>
      </c>
      <c r="AL41" s="2">
        <v>97</v>
      </c>
      <c r="AM41" s="2">
        <v>97</v>
      </c>
      <c r="AN41" s="2">
        <v>97</v>
      </c>
      <c r="AO41" s="2">
        <v>97</v>
      </c>
      <c r="AP41" s="2">
        <v>3</v>
      </c>
      <c r="AQ41" s="2">
        <v>6</v>
      </c>
      <c r="AR41" s="2">
        <v>10</v>
      </c>
      <c r="AS41" s="2"/>
      <c r="AT41" s="2"/>
      <c r="AU41" s="2">
        <f t="shared" si="12"/>
        <v>10</v>
      </c>
      <c r="AV41" s="2">
        <f t="shared" si="13"/>
        <v>10</v>
      </c>
      <c r="AW41" s="1">
        <f t="shared" si="14"/>
        <v>1.8181818181818181</v>
      </c>
      <c r="AX41" s="2">
        <v>1</v>
      </c>
      <c r="AY41" s="2"/>
      <c r="AZ41" s="2"/>
      <c r="BA41" s="2">
        <f t="shared" si="15"/>
        <v>1</v>
      </c>
      <c r="BB41" s="2">
        <f t="shared" si="16"/>
        <v>1</v>
      </c>
      <c r="BC41" s="2">
        <v>1</v>
      </c>
      <c r="BD41" s="2">
        <v>1</v>
      </c>
      <c r="BE41" s="2">
        <v>11</v>
      </c>
      <c r="BF41" s="4">
        <f t="shared" si="17"/>
        <v>11</v>
      </c>
      <c r="BG41" s="2">
        <v>2</v>
      </c>
      <c r="BH41" s="5">
        <f t="shared" si="18"/>
        <v>5</v>
      </c>
      <c r="BI41" s="2">
        <v>1</v>
      </c>
      <c r="BJ41" s="2">
        <v>6</v>
      </c>
      <c r="BK41" s="2">
        <v>0</v>
      </c>
      <c r="BL41" t="s">
        <v>83</v>
      </c>
      <c r="BM41" s="2">
        <f t="shared" si="19"/>
        <v>1</v>
      </c>
      <c r="BN41" s="2">
        <v>0</v>
      </c>
      <c r="BO41" s="2">
        <v>99997</v>
      </c>
      <c r="BP41" s="2">
        <v>1</v>
      </c>
      <c r="BQ41" s="2">
        <v>97</v>
      </c>
      <c r="BR41" s="2">
        <v>0</v>
      </c>
      <c r="BS41" s="2">
        <v>0</v>
      </c>
      <c r="BT41" s="2">
        <v>97</v>
      </c>
      <c r="BU41" s="2">
        <v>1</v>
      </c>
      <c r="BV41" s="2">
        <v>1</v>
      </c>
      <c r="BW41" s="2">
        <v>0</v>
      </c>
      <c r="BX41" s="2">
        <v>0</v>
      </c>
      <c r="BY41" s="2">
        <v>1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97</v>
      </c>
      <c r="CL41" s="2">
        <v>97</v>
      </c>
      <c r="CM41" s="2">
        <v>6</v>
      </c>
      <c r="CN41" s="2">
        <v>6</v>
      </c>
      <c r="CO41" s="2">
        <v>6</v>
      </c>
    </row>
    <row r="42" spans="1:93">
      <c r="A42">
        <v>90</v>
      </c>
      <c r="B42" t="s">
        <v>85</v>
      </c>
      <c r="C42" s="2">
        <v>7</v>
      </c>
      <c r="D42" s="2" t="s">
        <v>175</v>
      </c>
      <c r="E42">
        <v>97</v>
      </c>
      <c r="F42" s="2">
        <v>1</v>
      </c>
      <c r="G42" s="2">
        <v>1</v>
      </c>
      <c r="H42" s="2">
        <v>6</v>
      </c>
      <c r="I42" s="2">
        <f t="shared" si="10"/>
        <v>16.5</v>
      </c>
      <c r="J42" s="2">
        <f t="shared" si="11"/>
        <v>0.75</v>
      </c>
      <c r="K42" s="4">
        <v>0.75</v>
      </c>
      <c r="L42" s="2">
        <v>7</v>
      </c>
      <c r="M42" s="2">
        <v>0</v>
      </c>
      <c r="N42" s="2">
        <v>2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1</v>
      </c>
      <c r="AC42" s="2">
        <v>7</v>
      </c>
      <c r="AD42" s="2">
        <v>97</v>
      </c>
      <c r="AE42" s="2">
        <v>97</v>
      </c>
      <c r="AF42" s="2">
        <v>97</v>
      </c>
      <c r="AG42" s="2">
        <v>97</v>
      </c>
      <c r="AH42" s="2">
        <v>97</v>
      </c>
      <c r="AI42" s="2">
        <v>97</v>
      </c>
      <c r="AJ42" s="2">
        <v>97</v>
      </c>
      <c r="AK42" s="2">
        <v>97</v>
      </c>
      <c r="AL42" s="2">
        <v>97</v>
      </c>
      <c r="AM42" s="2">
        <v>97</v>
      </c>
      <c r="AN42" s="2">
        <v>97</v>
      </c>
      <c r="AO42" s="2">
        <v>97</v>
      </c>
      <c r="AP42" s="2">
        <v>1</v>
      </c>
      <c r="AQ42" s="2">
        <v>6</v>
      </c>
      <c r="AR42" s="2"/>
      <c r="AS42" s="2">
        <v>2</v>
      </c>
      <c r="AT42" s="2"/>
      <c r="AU42" s="2">
        <f t="shared" si="12"/>
        <v>666</v>
      </c>
      <c r="AV42" s="2">
        <f t="shared" si="13"/>
        <v>666</v>
      </c>
      <c r="AW42" s="1">
        <f t="shared" si="14"/>
        <v>121.09090909090909</v>
      </c>
      <c r="AX42" s="2"/>
      <c r="AY42" s="2">
        <v>1</v>
      </c>
      <c r="AZ42" s="2"/>
      <c r="BA42" s="2">
        <f t="shared" si="15"/>
        <v>333</v>
      </c>
      <c r="BB42" s="2">
        <f t="shared" si="16"/>
        <v>333</v>
      </c>
      <c r="BC42" s="2">
        <v>0</v>
      </c>
      <c r="BD42" s="2">
        <v>1</v>
      </c>
      <c r="BE42" s="2">
        <v>6</v>
      </c>
      <c r="BF42" s="4">
        <f t="shared" si="17"/>
        <v>6</v>
      </c>
      <c r="BG42" s="2">
        <v>3</v>
      </c>
      <c r="BH42" s="5">
        <f t="shared" si="18"/>
        <v>2.25</v>
      </c>
      <c r="BI42" s="2">
        <v>0</v>
      </c>
      <c r="BJ42" s="2">
        <v>4</v>
      </c>
      <c r="BK42" s="2">
        <v>0</v>
      </c>
      <c r="BL42" t="s">
        <v>83</v>
      </c>
      <c r="BM42" s="2">
        <f t="shared" si="19"/>
        <v>1</v>
      </c>
      <c r="BN42" s="2">
        <v>0</v>
      </c>
      <c r="BO42" s="2">
        <v>99997</v>
      </c>
      <c r="BP42" s="2">
        <v>2</v>
      </c>
      <c r="BQ42" s="2">
        <v>97</v>
      </c>
      <c r="BR42" s="2">
        <v>1</v>
      </c>
      <c r="BS42" s="2">
        <v>0</v>
      </c>
      <c r="BT42" s="2">
        <v>97</v>
      </c>
      <c r="BU42" s="2">
        <v>0</v>
      </c>
      <c r="BV42" s="2">
        <v>1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97</v>
      </c>
      <c r="CL42" s="2" t="s">
        <v>120</v>
      </c>
      <c r="CM42" s="2">
        <v>5</v>
      </c>
      <c r="CN42" s="2">
        <v>7</v>
      </c>
      <c r="CO42" s="2">
        <v>7</v>
      </c>
    </row>
    <row r="43" spans="1:93">
      <c r="A43">
        <v>89</v>
      </c>
      <c r="B43" t="s">
        <v>85</v>
      </c>
      <c r="C43" s="2">
        <v>7</v>
      </c>
      <c r="D43" s="2" t="s">
        <v>175</v>
      </c>
      <c r="E43">
        <v>97</v>
      </c>
      <c r="F43" s="2">
        <v>1</v>
      </c>
      <c r="G43" s="2">
        <v>0</v>
      </c>
      <c r="H43" s="2">
        <v>9</v>
      </c>
      <c r="I43" s="2">
        <f t="shared" si="10"/>
        <v>0.65999999999999992</v>
      </c>
      <c r="J43" s="2">
        <f t="shared" si="11"/>
        <v>2.9999999999999995E-2</v>
      </c>
      <c r="K43" s="4">
        <v>0.03</v>
      </c>
      <c r="L43" s="2">
        <v>6</v>
      </c>
      <c r="M43" s="2">
        <v>0</v>
      </c>
      <c r="N43" s="2">
        <v>3</v>
      </c>
      <c r="O43" s="2">
        <v>0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1</v>
      </c>
      <c r="AC43" s="2">
        <v>6</v>
      </c>
      <c r="AD43" s="2">
        <v>97</v>
      </c>
      <c r="AE43" s="2">
        <v>97</v>
      </c>
      <c r="AF43" s="2">
        <v>97</v>
      </c>
      <c r="AG43" s="2">
        <v>97</v>
      </c>
      <c r="AH43" s="2">
        <v>97</v>
      </c>
      <c r="AI43" s="2">
        <v>97</v>
      </c>
      <c r="AJ43" s="2">
        <v>97</v>
      </c>
      <c r="AK43" s="2">
        <v>97</v>
      </c>
      <c r="AL43" s="2">
        <v>97</v>
      </c>
      <c r="AM43" s="2">
        <v>97</v>
      </c>
      <c r="AN43" s="2">
        <v>97</v>
      </c>
      <c r="AO43" s="2">
        <v>97</v>
      </c>
      <c r="AP43" s="2">
        <v>1</v>
      </c>
      <c r="AQ43" s="2">
        <v>1</v>
      </c>
      <c r="AR43" s="2"/>
      <c r="AS43" s="2"/>
      <c r="AT43" s="2">
        <v>1</v>
      </c>
      <c r="AU43" s="2">
        <f t="shared" si="12"/>
        <v>333</v>
      </c>
      <c r="AV43" s="2">
        <f t="shared" si="13"/>
        <v>333</v>
      </c>
      <c r="AW43" s="1">
        <f t="shared" si="14"/>
        <v>60.545454545454547</v>
      </c>
      <c r="AX43" s="2"/>
      <c r="AY43" s="2"/>
      <c r="AZ43" s="2">
        <v>1</v>
      </c>
      <c r="BA43" s="2">
        <f t="shared" si="15"/>
        <v>333</v>
      </c>
      <c r="BB43" s="2">
        <f t="shared" si="16"/>
        <v>333</v>
      </c>
      <c r="BC43" s="2">
        <v>0</v>
      </c>
      <c r="BD43" s="2">
        <v>1</v>
      </c>
      <c r="BE43" s="2">
        <v>1</v>
      </c>
      <c r="BF43" s="4">
        <f t="shared" si="17"/>
        <v>1</v>
      </c>
      <c r="BG43" s="2">
        <v>1</v>
      </c>
      <c r="BH43" s="5">
        <f t="shared" si="18"/>
        <v>2.9999999999999995E-2</v>
      </c>
      <c r="BI43" s="2">
        <v>0</v>
      </c>
      <c r="BJ43" s="2">
        <v>4</v>
      </c>
      <c r="BK43" s="2">
        <v>0</v>
      </c>
      <c r="BL43" t="s">
        <v>83</v>
      </c>
      <c r="BM43" s="2">
        <f t="shared" si="19"/>
        <v>1</v>
      </c>
      <c r="BN43" s="2">
        <v>0</v>
      </c>
      <c r="BO43" s="2">
        <v>99997</v>
      </c>
      <c r="BP43" s="2">
        <v>1</v>
      </c>
      <c r="BQ43" s="2">
        <v>97</v>
      </c>
      <c r="BR43" s="2">
        <v>1</v>
      </c>
      <c r="BS43" s="2">
        <v>0</v>
      </c>
      <c r="BT43" s="2">
        <v>97</v>
      </c>
      <c r="BU43" s="2">
        <v>1</v>
      </c>
      <c r="BV43" s="2">
        <v>1</v>
      </c>
      <c r="BW43" s="2">
        <v>1</v>
      </c>
      <c r="BX43" s="2">
        <v>0</v>
      </c>
      <c r="BY43" s="2">
        <v>0</v>
      </c>
      <c r="BZ43" s="2">
        <v>0</v>
      </c>
      <c r="CA43" s="2">
        <v>0</v>
      </c>
      <c r="CB43" s="2">
        <v>0</v>
      </c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97</v>
      </c>
      <c r="CL43" s="2">
        <v>97</v>
      </c>
      <c r="CM43" s="2">
        <v>98</v>
      </c>
      <c r="CN43" s="2">
        <v>5</v>
      </c>
      <c r="CO43" s="2">
        <v>5</v>
      </c>
    </row>
    <row r="44" spans="1:93">
      <c r="A44">
        <v>88</v>
      </c>
      <c r="B44" t="s">
        <v>81</v>
      </c>
      <c r="C44" s="2">
        <v>7</v>
      </c>
      <c r="D44" s="2" t="s">
        <v>175</v>
      </c>
      <c r="E44">
        <v>97</v>
      </c>
      <c r="F44" s="2">
        <v>1</v>
      </c>
      <c r="G44" s="2">
        <v>0</v>
      </c>
      <c r="H44" s="2">
        <v>7</v>
      </c>
      <c r="I44" s="2">
        <f t="shared" si="10"/>
        <v>6.6</v>
      </c>
      <c r="J44" s="2">
        <f t="shared" si="11"/>
        <v>0.3</v>
      </c>
      <c r="K44" s="4">
        <v>0.3</v>
      </c>
      <c r="L44" s="2">
        <v>5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1</v>
      </c>
      <c r="AC44" s="2">
        <v>6</v>
      </c>
      <c r="AD44" s="2">
        <v>97</v>
      </c>
      <c r="AE44" s="2">
        <v>97</v>
      </c>
      <c r="AF44" s="2">
        <v>97</v>
      </c>
      <c r="AG44" s="2">
        <v>97</v>
      </c>
      <c r="AH44" s="2">
        <v>97</v>
      </c>
      <c r="AI44" s="2">
        <v>97</v>
      </c>
      <c r="AJ44" s="2">
        <v>97</v>
      </c>
      <c r="AK44" s="2">
        <v>97</v>
      </c>
      <c r="AL44" s="2">
        <v>97</v>
      </c>
      <c r="AM44" s="2">
        <v>97</v>
      </c>
      <c r="AN44" s="2">
        <v>97</v>
      </c>
      <c r="AO44" s="2">
        <v>97</v>
      </c>
      <c r="AP44" s="2">
        <v>1</v>
      </c>
      <c r="AQ44" s="2">
        <v>6</v>
      </c>
      <c r="AR44" s="2"/>
      <c r="AS44" s="2"/>
      <c r="AT44" s="2">
        <v>1</v>
      </c>
      <c r="AU44" s="2">
        <f t="shared" si="12"/>
        <v>333</v>
      </c>
      <c r="AV44" s="2">
        <f t="shared" si="13"/>
        <v>333</v>
      </c>
      <c r="AW44" s="1">
        <f t="shared" si="14"/>
        <v>60.545454545454547</v>
      </c>
      <c r="AX44" s="2"/>
      <c r="AY44" s="2"/>
      <c r="AZ44" s="2">
        <v>0.5</v>
      </c>
      <c r="BA44" s="2">
        <f t="shared" si="15"/>
        <v>166.5</v>
      </c>
      <c r="BB44" s="2">
        <f t="shared" si="16"/>
        <v>166.5</v>
      </c>
      <c r="BC44" s="2">
        <v>0</v>
      </c>
      <c r="BD44" s="2">
        <v>1</v>
      </c>
      <c r="BE44" s="2">
        <v>8</v>
      </c>
      <c r="BF44" s="4">
        <f t="shared" si="17"/>
        <v>8</v>
      </c>
      <c r="BG44" s="2">
        <v>4</v>
      </c>
      <c r="BH44" s="5">
        <f t="shared" si="18"/>
        <v>1.2</v>
      </c>
      <c r="BI44" s="2">
        <v>0</v>
      </c>
      <c r="BJ44" s="2">
        <v>4</v>
      </c>
      <c r="BK44" s="2">
        <v>0</v>
      </c>
      <c r="BL44" t="s">
        <v>83</v>
      </c>
      <c r="BM44" s="2">
        <f t="shared" si="19"/>
        <v>1</v>
      </c>
      <c r="BN44" s="2">
        <v>0</v>
      </c>
      <c r="BO44" s="2">
        <v>99997</v>
      </c>
      <c r="BP44" s="2">
        <v>1</v>
      </c>
      <c r="BQ44" s="2">
        <v>97</v>
      </c>
      <c r="BR44" s="2">
        <v>1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0</v>
      </c>
      <c r="BY44" s="2">
        <v>0</v>
      </c>
      <c r="BZ44" s="2">
        <v>0</v>
      </c>
      <c r="CA44" s="2">
        <v>0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97</v>
      </c>
      <c r="CL44" s="2">
        <v>97</v>
      </c>
      <c r="CM44" s="2">
        <v>98</v>
      </c>
      <c r="CN44" s="2">
        <v>4</v>
      </c>
      <c r="CO44" s="2">
        <v>2</v>
      </c>
    </row>
    <row r="45" spans="1:93">
      <c r="A45">
        <v>87</v>
      </c>
      <c r="B45" t="s">
        <v>91</v>
      </c>
      <c r="C45" s="2">
        <v>7</v>
      </c>
      <c r="D45" s="2" t="s">
        <v>175</v>
      </c>
      <c r="E45">
        <v>97</v>
      </c>
      <c r="F45" s="2">
        <v>0</v>
      </c>
      <c r="G45" s="2">
        <v>0</v>
      </c>
      <c r="H45" s="2">
        <v>4</v>
      </c>
      <c r="I45" s="2">
        <f t="shared" si="10"/>
        <v>55</v>
      </c>
      <c r="J45" s="2">
        <f t="shared" si="11"/>
        <v>2.5</v>
      </c>
      <c r="K45" s="4">
        <v>1</v>
      </c>
      <c r="L45" s="2">
        <v>6</v>
      </c>
      <c r="M45" s="2">
        <v>0</v>
      </c>
      <c r="N45" s="2">
        <v>3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1</v>
      </c>
      <c r="U45" s="2">
        <v>1</v>
      </c>
      <c r="V45" s="2">
        <v>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1</v>
      </c>
      <c r="AC45" s="2">
        <v>6</v>
      </c>
      <c r="AD45" s="2">
        <v>97</v>
      </c>
      <c r="AE45" s="2">
        <v>97</v>
      </c>
      <c r="AF45" s="2">
        <v>97</v>
      </c>
      <c r="AG45" s="2">
        <v>97</v>
      </c>
      <c r="AH45" s="2">
        <v>97</v>
      </c>
      <c r="AI45" s="2">
        <v>97</v>
      </c>
      <c r="AJ45" s="2">
        <v>97</v>
      </c>
      <c r="AK45" s="2">
        <v>97</v>
      </c>
      <c r="AL45" s="2">
        <v>97</v>
      </c>
      <c r="AM45" s="2">
        <v>97</v>
      </c>
      <c r="AN45" s="2">
        <v>97</v>
      </c>
      <c r="AO45" s="2">
        <v>97</v>
      </c>
      <c r="AP45" s="2">
        <v>1</v>
      </c>
      <c r="AQ45" s="2">
        <v>6</v>
      </c>
      <c r="AR45" s="2"/>
      <c r="AS45" s="2">
        <v>1</v>
      </c>
      <c r="AT45" s="2"/>
      <c r="AU45" s="2">
        <f t="shared" si="12"/>
        <v>333</v>
      </c>
      <c r="AV45" s="2">
        <f t="shared" si="13"/>
        <v>333</v>
      </c>
      <c r="AW45" s="1">
        <f t="shared" si="14"/>
        <v>60.545454545454547</v>
      </c>
      <c r="AX45" s="2"/>
      <c r="AY45" s="2">
        <v>0.5</v>
      </c>
      <c r="AZ45" s="2"/>
      <c r="BA45" s="2">
        <f t="shared" si="15"/>
        <v>166.5</v>
      </c>
      <c r="BB45" s="2">
        <f t="shared" si="16"/>
        <v>166.5</v>
      </c>
      <c r="BC45" s="2">
        <v>0</v>
      </c>
      <c r="BD45" s="2">
        <v>1</v>
      </c>
      <c r="BE45" s="2">
        <v>20</v>
      </c>
      <c r="BF45" s="4">
        <f t="shared" si="17"/>
        <v>20</v>
      </c>
      <c r="BG45" s="2">
        <v>2</v>
      </c>
      <c r="BH45" s="5">
        <f t="shared" si="18"/>
        <v>5</v>
      </c>
      <c r="BI45" s="2">
        <v>1</v>
      </c>
      <c r="BJ45" s="2">
        <v>4</v>
      </c>
      <c r="BK45" s="2">
        <v>0</v>
      </c>
      <c r="BL45" t="s">
        <v>83</v>
      </c>
      <c r="BM45" s="2">
        <f t="shared" si="19"/>
        <v>1</v>
      </c>
      <c r="BN45" s="2">
        <v>0</v>
      </c>
      <c r="BO45" s="2">
        <v>99997</v>
      </c>
      <c r="BP45" s="2">
        <v>1</v>
      </c>
      <c r="BQ45" s="2">
        <v>97</v>
      </c>
      <c r="BR45" s="2">
        <v>1</v>
      </c>
      <c r="BS45" s="2">
        <v>0</v>
      </c>
      <c r="BT45" s="2">
        <v>97</v>
      </c>
      <c r="BU45" s="2">
        <v>1</v>
      </c>
      <c r="BV45" s="2">
        <v>1</v>
      </c>
      <c r="BW45" s="2">
        <v>0</v>
      </c>
      <c r="BX45" s="2">
        <v>1</v>
      </c>
      <c r="BY45" s="2">
        <v>1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 t="s">
        <v>92</v>
      </c>
      <c r="CL45" s="2">
        <v>97</v>
      </c>
      <c r="CM45" s="2">
        <v>98</v>
      </c>
      <c r="CN45" s="2">
        <v>6</v>
      </c>
      <c r="CO45" s="2">
        <v>4</v>
      </c>
    </row>
    <row r="46" spans="1:93">
      <c r="A46">
        <v>86</v>
      </c>
      <c r="B46" t="s">
        <v>91</v>
      </c>
      <c r="C46" s="2">
        <v>7</v>
      </c>
      <c r="D46" s="2" t="s">
        <v>175</v>
      </c>
      <c r="E46">
        <v>97</v>
      </c>
      <c r="F46" s="2">
        <v>0</v>
      </c>
      <c r="G46" s="2">
        <v>1</v>
      </c>
      <c r="H46" s="2">
        <v>8</v>
      </c>
      <c r="I46" s="2">
        <f t="shared" si="10"/>
        <v>2.0019999999999998</v>
      </c>
      <c r="J46" s="2">
        <f t="shared" si="11"/>
        <v>9.0999999999999984E-2</v>
      </c>
      <c r="K46" s="4">
        <v>9.0999999999999998E-2</v>
      </c>
      <c r="L46" s="2">
        <v>6</v>
      </c>
      <c r="M46" s="2">
        <v>0</v>
      </c>
      <c r="N46" s="2">
        <v>3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1</v>
      </c>
      <c r="AC46" s="2">
        <v>7</v>
      </c>
      <c r="AD46" s="2">
        <v>97</v>
      </c>
      <c r="AE46" s="2">
        <v>97</v>
      </c>
      <c r="AF46" s="2">
        <v>97</v>
      </c>
      <c r="AG46" s="2">
        <v>97</v>
      </c>
      <c r="AH46" s="2">
        <v>97</v>
      </c>
      <c r="AI46" s="2">
        <v>97</v>
      </c>
      <c r="AJ46" s="2">
        <v>97</v>
      </c>
      <c r="AK46" s="2">
        <v>97</v>
      </c>
      <c r="AL46" s="2">
        <v>97</v>
      </c>
      <c r="AM46" s="2">
        <v>97</v>
      </c>
      <c r="AN46" s="2">
        <v>97</v>
      </c>
      <c r="AO46" s="2">
        <v>97</v>
      </c>
      <c r="AP46" s="2">
        <v>1</v>
      </c>
      <c r="AQ46" s="2">
        <v>7</v>
      </c>
      <c r="AR46" s="2">
        <v>20</v>
      </c>
      <c r="AS46" s="2"/>
      <c r="AT46" s="2"/>
      <c r="AU46" s="2">
        <f t="shared" si="12"/>
        <v>20</v>
      </c>
      <c r="AV46" s="2">
        <f t="shared" si="13"/>
        <v>20</v>
      </c>
      <c r="AW46" s="1">
        <f t="shared" si="14"/>
        <v>3.6363636363636362</v>
      </c>
      <c r="AX46" s="2">
        <v>10</v>
      </c>
      <c r="AY46" s="2"/>
      <c r="AZ46" s="2"/>
      <c r="BA46" s="2">
        <f t="shared" si="15"/>
        <v>10</v>
      </c>
      <c r="BB46" s="2">
        <f t="shared" si="16"/>
        <v>10</v>
      </c>
      <c r="BC46" s="2">
        <v>0</v>
      </c>
      <c r="BD46" s="2">
        <v>1</v>
      </c>
      <c r="BE46" s="2">
        <v>1</v>
      </c>
      <c r="BF46" s="4">
        <f t="shared" si="17"/>
        <v>1</v>
      </c>
      <c r="BG46" s="2">
        <v>1</v>
      </c>
      <c r="BH46" s="5">
        <f t="shared" si="18"/>
        <v>9.0999999999999984E-2</v>
      </c>
      <c r="BI46" s="2">
        <v>0</v>
      </c>
      <c r="BJ46" s="2">
        <v>3</v>
      </c>
      <c r="BK46" s="2">
        <v>0</v>
      </c>
      <c r="BL46" t="s">
        <v>83</v>
      </c>
      <c r="BM46" s="2">
        <f t="shared" si="19"/>
        <v>1</v>
      </c>
      <c r="BN46" s="2">
        <v>0</v>
      </c>
      <c r="BO46" s="2">
        <v>99997</v>
      </c>
      <c r="BP46" s="2">
        <v>1</v>
      </c>
      <c r="BQ46" s="2">
        <v>97</v>
      </c>
      <c r="BR46" s="2">
        <v>1</v>
      </c>
      <c r="BS46" s="2">
        <v>1</v>
      </c>
      <c r="BT46" s="2">
        <v>2</v>
      </c>
      <c r="BU46" s="2">
        <v>0</v>
      </c>
      <c r="BV46" s="2">
        <v>1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97</v>
      </c>
      <c r="CL46" s="2">
        <v>97</v>
      </c>
      <c r="CM46" s="2">
        <v>4</v>
      </c>
      <c r="CN46" s="2">
        <v>6</v>
      </c>
      <c r="CO46" s="2">
        <v>6</v>
      </c>
    </row>
    <row r="47" spans="1:93">
      <c r="A47">
        <v>85</v>
      </c>
      <c r="B47" t="s">
        <v>81</v>
      </c>
      <c r="C47" s="2">
        <v>97</v>
      </c>
      <c r="D47" s="2" t="s">
        <v>168</v>
      </c>
      <c r="E47" t="s">
        <v>119</v>
      </c>
      <c r="F47" s="2">
        <v>0</v>
      </c>
      <c r="G47" s="2">
        <v>98</v>
      </c>
      <c r="H47" s="2">
        <v>8</v>
      </c>
      <c r="I47" s="2">
        <f t="shared" si="10"/>
        <v>2.0019999999999998</v>
      </c>
      <c r="J47" s="2">
        <f t="shared" si="11"/>
        <v>9.0999999999999984E-2</v>
      </c>
      <c r="K47" s="4">
        <v>9.0999999999999998E-2</v>
      </c>
      <c r="L47" s="2">
        <v>6</v>
      </c>
      <c r="M47" s="2">
        <v>0</v>
      </c>
      <c r="N47" s="2">
        <v>3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1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1</v>
      </c>
      <c r="AC47" s="2">
        <v>7</v>
      </c>
      <c r="AD47" s="2">
        <v>97</v>
      </c>
      <c r="AE47" s="2">
        <v>97</v>
      </c>
      <c r="AF47" s="2">
        <v>97</v>
      </c>
      <c r="AG47" s="2">
        <v>97</v>
      </c>
      <c r="AH47" s="2">
        <v>97</v>
      </c>
      <c r="AI47" s="2">
        <v>97</v>
      </c>
      <c r="AJ47" s="2">
        <v>97</v>
      </c>
      <c r="AK47" s="2">
        <v>97</v>
      </c>
      <c r="AL47" s="2">
        <v>97</v>
      </c>
      <c r="AM47" s="2">
        <v>97</v>
      </c>
      <c r="AN47" s="2">
        <v>97</v>
      </c>
      <c r="AO47" s="2">
        <v>97</v>
      </c>
      <c r="AP47" s="2">
        <v>1</v>
      </c>
      <c r="AQ47" s="2">
        <v>6</v>
      </c>
      <c r="AR47" s="2">
        <v>10</v>
      </c>
      <c r="AS47" s="2"/>
      <c r="AT47" s="2"/>
      <c r="AU47" s="2">
        <f t="shared" si="12"/>
        <v>10</v>
      </c>
      <c r="AV47" s="2">
        <f t="shared" si="13"/>
        <v>10</v>
      </c>
      <c r="AW47" s="1">
        <f t="shared" si="14"/>
        <v>1.8181818181818181</v>
      </c>
      <c r="AX47" s="2">
        <v>5</v>
      </c>
      <c r="AY47" s="2"/>
      <c r="AZ47" s="2"/>
      <c r="BA47" s="2">
        <f t="shared" si="15"/>
        <v>5</v>
      </c>
      <c r="BB47" s="2">
        <f t="shared" si="16"/>
        <v>5</v>
      </c>
      <c r="BC47" s="2">
        <v>0</v>
      </c>
      <c r="BD47" s="2">
        <v>1</v>
      </c>
      <c r="BE47" s="2">
        <v>98</v>
      </c>
      <c r="BF47" s="4">
        <f t="shared" si="17"/>
        <v>0</v>
      </c>
      <c r="BG47" s="2">
        <v>98</v>
      </c>
      <c r="BH47" s="5">
        <f t="shared" si="18"/>
        <v>0</v>
      </c>
      <c r="BI47" s="2">
        <v>98</v>
      </c>
      <c r="BJ47" s="2">
        <v>1</v>
      </c>
      <c r="BK47" s="2">
        <v>0</v>
      </c>
      <c r="BL47" t="s">
        <v>83</v>
      </c>
      <c r="BM47" s="2">
        <f t="shared" si="19"/>
        <v>1</v>
      </c>
      <c r="BN47" s="2">
        <v>0</v>
      </c>
      <c r="BO47" s="2">
        <v>99997</v>
      </c>
      <c r="BP47" s="2">
        <v>1</v>
      </c>
      <c r="BQ47" s="2">
        <v>97</v>
      </c>
      <c r="BR47" s="2">
        <v>1</v>
      </c>
      <c r="BS47" s="2">
        <v>0</v>
      </c>
      <c r="BT47" s="2">
        <v>97</v>
      </c>
      <c r="BU47" s="2">
        <v>0</v>
      </c>
      <c r="BV47" s="2">
        <v>1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>
        <v>0</v>
      </c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>
        <v>0</v>
      </c>
      <c r="CJ47" s="2">
        <v>0</v>
      </c>
      <c r="CK47" s="2">
        <v>97</v>
      </c>
      <c r="CL47" s="2">
        <v>97</v>
      </c>
      <c r="CM47" s="2">
        <v>98</v>
      </c>
      <c r="CN47" s="2">
        <v>6</v>
      </c>
      <c r="CO47" s="2">
        <v>6</v>
      </c>
    </row>
    <row r="48" spans="1:93">
      <c r="A48">
        <v>79</v>
      </c>
      <c r="B48" t="s">
        <v>91</v>
      </c>
      <c r="C48" s="2">
        <v>97</v>
      </c>
      <c r="D48" s="2" t="s">
        <v>168</v>
      </c>
      <c r="E48" t="s">
        <v>118</v>
      </c>
      <c r="F48" s="2">
        <v>0</v>
      </c>
      <c r="G48" s="2">
        <v>0</v>
      </c>
      <c r="H48" s="2">
        <v>6</v>
      </c>
      <c r="I48" s="2">
        <f t="shared" si="10"/>
        <v>16.5</v>
      </c>
      <c r="J48" s="2">
        <f t="shared" si="11"/>
        <v>0.75</v>
      </c>
      <c r="K48" s="4">
        <v>0.75</v>
      </c>
      <c r="L48" s="2">
        <v>7</v>
      </c>
      <c r="M48" s="2">
        <v>0</v>
      </c>
      <c r="N48" s="2">
        <v>3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1</v>
      </c>
      <c r="U48" s="2">
        <v>1</v>
      </c>
      <c r="V48" s="2">
        <v>0</v>
      </c>
      <c r="W48" s="2">
        <v>1</v>
      </c>
      <c r="X48" s="2">
        <v>1</v>
      </c>
      <c r="Y48" s="2">
        <v>0</v>
      </c>
      <c r="Z48" s="2">
        <v>0</v>
      </c>
      <c r="AA48" s="2">
        <v>98</v>
      </c>
      <c r="AB48" s="2">
        <v>1</v>
      </c>
      <c r="AC48" s="2">
        <v>7</v>
      </c>
      <c r="AD48" s="2">
        <v>97</v>
      </c>
      <c r="AE48" s="2">
        <v>97</v>
      </c>
      <c r="AF48" s="2">
        <v>97</v>
      </c>
      <c r="AG48" s="2">
        <v>97</v>
      </c>
      <c r="AH48" s="2">
        <v>97</v>
      </c>
      <c r="AI48" s="2">
        <v>97</v>
      </c>
      <c r="AJ48" s="2">
        <v>97</v>
      </c>
      <c r="AK48" s="2">
        <v>97</v>
      </c>
      <c r="AL48" s="2">
        <v>97</v>
      </c>
      <c r="AM48" s="2">
        <v>97</v>
      </c>
      <c r="AN48" s="2">
        <v>97</v>
      </c>
      <c r="AO48" s="2">
        <v>97</v>
      </c>
      <c r="AP48" s="2">
        <v>1</v>
      </c>
      <c r="AQ48" s="2">
        <v>7</v>
      </c>
      <c r="AR48" s="2"/>
      <c r="AS48" s="2"/>
      <c r="AT48" s="2">
        <v>2</v>
      </c>
      <c r="AU48" s="2">
        <f t="shared" si="12"/>
        <v>666</v>
      </c>
      <c r="AV48" s="2">
        <f t="shared" si="13"/>
        <v>666</v>
      </c>
      <c r="AW48" s="1">
        <f t="shared" si="14"/>
        <v>121.09090909090909</v>
      </c>
      <c r="AX48" s="2"/>
      <c r="AY48" s="2"/>
      <c r="AZ48" s="2">
        <v>1</v>
      </c>
      <c r="BA48" s="2">
        <f t="shared" si="15"/>
        <v>333</v>
      </c>
      <c r="BB48" s="2">
        <f t="shared" si="16"/>
        <v>333</v>
      </c>
      <c r="BC48" s="2">
        <v>0</v>
      </c>
      <c r="BD48" s="2">
        <v>1</v>
      </c>
      <c r="BE48" s="2">
        <v>1</v>
      </c>
      <c r="BF48" s="4">
        <f t="shared" si="17"/>
        <v>1</v>
      </c>
      <c r="BG48" s="2">
        <v>1</v>
      </c>
      <c r="BH48" s="5">
        <f t="shared" si="18"/>
        <v>0.75</v>
      </c>
      <c r="BI48" s="2">
        <v>0</v>
      </c>
      <c r="BJ48" s="2">
        <v>4</v>
      </c>
      <c r="BK48" s="2">
        <v>1</v>
      </c>
      <c r="BL48" s="3">
        <v>97</v>
      </c>
      <c r="BM48" s="2">
        <f t="shared" si="19"/>
        <v>0</v>
      </c>
      <c r="BN48" s="2">
        <v>0</v>
      </c>
      <c r="BO48" s="2">
        <v>99997</v>
      </c>
      <c r="BP48" s="2">
        <v>3</v>
      </c>
      <c r="BQ48" s="2">
        <v>97</v>
      </c>
      <c r="BR48" s="2">
        <v>1</v>
      </c>
      <c r="BS48" s="2">
        <v>0</v>
      </c>
      <c r="BT48" s="2">
        <v>97</v>
      </c>
      <c r="BU48" s="2">
        <v>1</v>
      </c>
      <c r="BV48" s="2">
        <v>1</v>
      </c>
      <c r="BW48" s="2">
        <v>1</v>
      </c>
      <c r="BX48" s="2">
        <v>1</v>
      </c>
      <c r="BY48" s="2">
        <v>1</v>
      </c>
      <c r="BZ48" s="2">
        <v>1</v>
      </c>
      <c r="CA48" s="2">
        <v>1</v>
      </c>
      <c r="CB48" s="2">
        <v>1</v>
      </c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>
        <v>0</v>
      </c>
      <c r="CJ48" s="2">
        <v>0</v>
      </c>
      <c r="CK48" s="2">
        <v>97</v>
      </c>
      <c r="CL48" s="2">
        <v>97</v>
      </c>
      <c r="CM48" s="2">
        <v>6</v>
      </c>
      <c r="CN48" s="2">
        <v>2</v>
      </c>
      <c r="CO48" s="2">
        <v>1</v>
      </c>
    </row>
    <row r="49" spans="1:93">
      <c r="A49">
        <v>78</v>
      </c>
      <c r="B49" t="s">
        <v>85</v>
      </c>
      <c r="C49" s="2">
        <v>4</v>
      </c>
      <c r="D49" s="2" t="s">
        <v>176</v>
      </c>
      <c r="E49">
        <v>97</v>
      </c>
      <c r="F49" s="2">
        <v>1</v>
      </c>
      <c r="G49" s="2">
        <v>1</v>
      </c>
      <c r="H49" s="2">
        <v>7</v>
      </c>
      <c r="I49" s="2">
        <f t="shared" si="10"/>
        <v>6.6</v>
      </c>
      <c r="J49" s="2">
        <f t="shared" si="11"/>
        <v>0.3</v>
      </c>
      <c r="K49" s="4">
        <v>0.3</v>
      </c>
      <c r="L49" s="2">
        <v>7</v>
      </c>
      <c r="M49" s="2">
        <v>1</v>
      </c>
      <c r="N49" s="2">
        <v>3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1</v>
      </c>
      <c r="AB49" s="2">
        <v>1</v>
      </c>
      <c r="AC49" s="2">
        <v>7</v>
      </c>
      <c r="AD49" s="2">
        <v>97</v>
      </c>
      <c r="AE49" s="2">
        <v>97</v>
      </c>
      <c r="AF49" s="2">
        <v>97</v>
      </c>
      <c r="AG49" s="2">
        <v>97</v>
      </c>
      <c r="AH49" s="2">
        <v>97</v>
      </c>
      <c r="AI49" s="2">
        <v>97</v>
      </c>
      <c r="AJ49" s="2">
        <v>97</v>
      </c>
      <c r="AK49" s="2">
        <v>97</v>
      </c>
      <c r="AL49" s="2">
        <v>97</v>
      </c>
      <c r="AM49" s="2">
        <v>97</v>
      </c>
      <c r="AN49" s="2">
        <v>97</v>
      </c>
      <c r="AO49" s="2">
        <v>97</v>
      </c>
      <c r="AP49" s="2">
        <v>1</v>
      </c>
      <c r="AQ49" s="2">
        <v>1</v>
      </c>
      <c r="AR49" s="2"/>
      <c r="AS49" s="2">
        <v>1</v>
      </c>
      <c r="AT49" s="2"/>
      <c r="AU49" s="2">
        <f t="shared" si="12"/>
        <v>333</v>
      </c>
      <c r="AV49" s="2">
        <f t="shared" si="13"/>
        <v>333</v>
      </c>
      <c r="AW49" s="1">
        <f t="shared" si="14"/>
        <v>60.545454545454547</v>
      </c>
      <c r="AX49" s="2"/>
      <c r="AY49" s="2"/>
      <c r="AZ49" s="2">
        <v>0.5</v>
      </c>
      <c r="BA49" s="2">
        <f t="shared" si="15"/>
        <v>166.5</v>
      </c>
      <c r="BB49" s="2">
        <f t="shared" si="16"/>
        <v>166.5</v>
      </c>
      <c r="BC49" s="2">
        <v>0</v>
      </c>
      <c r="BD49" s="2">
        <v>1</v>
      </c>
      <c r="BE49" s="2">
        <v>2</v>
      </c>
      <c r="BF49" s="4">
        <f t="shared" si="17"/>
        <v>2</v>
      </c>
      <c r="BG49" s="2">
        <v>2</v>
      </c>
      <c r="BH49" s="5">
        <f t="shared" si="18"/>
        <v>0.6</v>
      </c>
      <c r="BI49" s="2">
        <v>1</v>
      </c>
      <c r="BJ49" s="2">
        <v>4</v>
      </c>
      <c r="BK49" s="2">
        <v>0</v>
      </c>
      <c r="BL49" t="s">
        <v>83</v>
      </c>
      <c r="BM49" s="2">
        <f t="shared" si="19"/>
        <v>1</v>
      </c>
      <c r="BN49" s="2">
        <v>0</v>
      </c>
      <c r="BO49" s="2">
        <v>99997</v>
      </c>
      <c r="BP49" s="2">
        <v>2</v>
      </c>
      <c r="BQ49" s="2">
        <v>97</v>
      </c>
      <c r="BR49" s="2">
        <v>1</v>
      </c>
      <c r="BS49" s="2">
        <v>0</v>
      </c>
      <c r="BT49" s="2">
        <v>97</v>
      </c>
      <c r="BU49" s="2">
        <v>1</v>
      </c>
      <c r="BV49" s="2">
        <v>1</v>
      </c>
      <c r="BW49" s="2">
        <v>1</v>
      </c>
      <c r="BX49" s="2">
        <v>0</v>
      </c>
      <c r="BY49" s="2">
        <v>0</v>
      </c>
      <c r="BZ49" s="2">
        <v>0</v>
      </c>
      <c r="CA49" s="2">
        <v>0</v>
      </c>
      <c r="CB49" s="2">
        <v>0</v>
      </c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>
        <v>0</v>
      </c>
      <c r="CJ49" s="2">
        <v>0</v>
      </c>
      <c r="CK49" s="2">
        <v>97</v>
      </c>
      <c r="CL49" s="2">
        <v>97</v>
      </c>
      <c r="CM49" s="2">
        <v>98</v>
      </c>
      <c r="CN49" s="2">
        <v>7</v>
      </c>
      <c r="CO49" s="2">
        <v>99</v>
      </c>
    </row>
    <row r="50" spans="1:93">
      <c r="A50">
        <v>77</v>
      </c>
      <c r="B50" t="s">
        <v>85</v>
      </c>
      <c r="C50" s="2">
        <v>18</v>
      </c>
      <c r="D50" s="2" t="s">
        <v>173</v>
      </c>
      <c r="E50">
        <v>97</v>
      </c>
      <c r="F50" s="2">
        <v>1</v>
      </c>
      <c r="G50" s="2">
        <v>1</v>
      </c>
      <c r="H50" s="2">
        <v>3</v>
      </c>
      <c r="I50" s="2">
        <f t="shared" si="10"/>
        <v>99</v>
      </c>
      <c r="J50" s="2">
        <f t="shared" si="11"/>
        <v>4.5</v>
      </c>
      <c r="K50" s="4">
        <v>1</v>
      </c>
      <c r="L50" s="2">
        <v>6</v>
      </c>
      <c r="M50" s="2">
        <v>0</v>
      </c>
      <c r="N50" s="2">
        <v>3</v>
      </c>
      <c r="O50" s="2">
        <v>0</v>
      </c>
      <c r="P50" s="2">
        <v>0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1</v>
      </c>
      <c r="W50" s="2">
        <v>1</v>
      </c>
      <c r="X50" s="2">
        <v>0</v>
      </c>
      <c r="Y50" s="2">
        <v>0</v>
      </c>
      <c r="Z50" s="2">
        <v>0</v>
      </c>
      <c r="AA50" s="2">
        <v>0</v>
      </c>
      <c r="AB50" s="2">
        <v>1</v>
      </c>
      <c r="AC50" s="2">
        <v>7</v>
      </c>
      <c r="AD50" s="2">
        <v>97</v>
      </c>
      <c r="AE50" s="2">
        <v>97</v>
      </c>
      <c r="AF50" s="2">
        <v>97</v>
      </c>
      <c r="AG50" s="2">
        <v>97</v>
      </c>
      <c r="AH50" s="2">
        <v>97</v>
      </c>
      <c r="AI50" s="2">
        <v>97</v>
      </c>
      <c r="AJ50" s="2">
        <v>97</v>
      </c>
      <c r="AK50" s="2">
        <v>97</v>
      </c>
      <c r="AL50" s="2">
        <v>97</v>
      </c>
      <c r="AM50" s="2">
        <v>97</v>
      </c>
      <c r="AN50" s="2">
        <v>97</v>
      </c>
      <c r="AO50" s="2">
        <v>97</v>
      </c>
      <c r="AP50" s="2">
        <v>1</v>
      </c>
      <c r="AQ50" s="2">
        <v>1</v>
      </c>
      <c r="AR50" s="2"/>
      <c r="AS50" s="2"/>
      <c r="AT50" s="2">
        <v>15</v>
      </c>
      <c r="AU50" s="2">
        <f t="shared" si="12"/>
        <v>4995</v>
      </c>
      <c r="AV50" s="2">
        <f t="shared" si="13"/>
        <v>4995</v>
      </c>
      <c r="AW50" s="1">
        <f t="shared" si="14"/>
        <v>908.18181818181813</v>
      </c>
      <c r="AX50" s="2">
        <v>1000</v>
      </c>
      <c r="AY50" s="2"/>
      <c r="AZ50" s="2"/>
      <c r="BA50" s="2">
        <f t="shared" si="15"/>
        <v>1000</v>
      </c>
      <c r="BB50" s="2">
        <f t="shared" si="16"/>
        <v>1000</v>
      </c>
      <c r="BC50" s="2">
        <v>1</v>
      </c>
      <c r="BD50" s="2">
        <v>1</v>
      </c>
      <c r="BE50" s="4">
        <v>50</v>
      </c>
      <c r="BF50" s="4">
        <f t="shared" si="17"/>
        <v>50</v>
      </c>
      <c r="BG50" s="2">
        <v>2</v>
      </c>
      <c r="BH50" s="5">
        <f t="shared" si="18"/>
        <v>9</v>
      </c>
      <c r="BI50" s="2">
        <v>1</v>
      </c>
      <c r="BJ50" s="2">
        <v>4</v>
      </c>
      <c r="BK50" s="2">
        <v>1</v>
      </c>
      <c r="BL50" s="3">
        <v>97</v>
      </c>
      <c r="BM50" s="2">
        <f t="shared" si="19"/>
        <v>0</v>
      </c>
      <c r="BN50" s="2">
        <v>0</v>
      </c>
      <c r="BO50" s="2">
        <v>99997</v>
      </c>
      <c r="BP50" s="2">
        <v>97</v>
      </c>
      <c r="BQ50" s="2" t="s">
        <v>117</v>
      </c>
      <c r="BR50" s="2">
        <v>1</v>
      </c>
      <c r="BS50" s="2">
        <v>0</v>
      </c>
      <c r="BT50" s="2">
        <v>97</v>
      </c>
      <c r="BU50" s="2">
        <v>1</v>
      </c>
      <c r="BV50" s="2">
        <v>1</v>
      </c>
      <c r="BW50" s="2">
        <v>1</v>
      </c>
      <c r="BX50" s="2">
        <v>1</v>
      </c>
      <c r="BY50" s="2">
        <v>1</v>
      </c>
      <c r="BZ50" s="2">
        <v>0</v>
      </c>
      <c r="CA50" s="2">
        <v>0</v>
      </c>
      <c r="CB50" s="2">
        <v>1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97</v>
      </c>
      <c r="CL50" s="2">
        <v>97</v>
      </c>
      <c r="CM50" s="2">
        <v>98</v>
      </c>
      <c r="CN50" s="2">
        <v>3</v>
      </c>
      <c r="CO50" s="2">
        <v>1</v>
      </c>
    </row>
    <row r="51" spans="1:93">
      <c r="A51">
        <v>76</v>
      </c>
      <c r="B51" t="s">
        <v>91</v>
      </c>
      <c r="C51" s="2">
        <v>12</v>
      </c>
      <c r="D51" s="2" t="s">
        <v>165</v>
      </c>
      <c r="E51">
        <v>97</v>
      </c>
      <c r="F51" s="2">
        <v>0</v>
      </c>
      <c r="G51" s="2">
        <v>0</v>
      </c>
      <c r="H51" s="2">
        <v>9</v>
      </c>
      <c r="I51" s="2">
        <f t="shared" si="10"/>
        <v>0.65999999999999992</v>
      </c>
      <c r="J51" s="2">
        <f t="shared" si="11"/>
        <v>2.9999999999999995E-2</v>
      </c>
      <c r="K51" s="4">
        <v>0.03</v>
      </c>
      <c r="L51" s="2">
        <v>7</v>
      </c>
      <c r="M51" s="2">
        <v>1</v>
      </c>
      <c r="N51" s="2">
        <v>3</v>
      </c>
      <c r="O51" s="2">
        <v>0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</v>
      </c>
      <c r="AB51" s="2">
        <v>1</v>
      </c>
      <c r="AC51" s="2">
        <v>7</v>
      </c>
      <c r="AD51" s="2">
        <v>97</v>
      </c>
      <c r="AE51" s="2">
        <v>97</v>
      </c>
      <c r="AF51" s="2">
        <v>97</v>
      </c>
      <c r="AG51" s="2">
        <v>97</v>
      </c>
      <c r="AH51" s="2">
        <v>97</v>
      </c>
      <c r="AI51" s="2">
        <v>97</v>
      </c>
      <c r="AJ51" s="2">
        <v>97</v>
      </c>
      <c r="AK51" s="2">
        <v>97</v>
      </c>
      <c r="AL51" s="2">
        <v>97</v>
      </c>
      <c r="AM51" s="2">
        <v>97</v>
      </c>
      <c r="AN51" s="2">
        <v>97</v>
      </c>
      <c r="AO51" s="2">
        <v>97</v>
      </c>
      <c r="AP51" s="2">
        <v>1</v>
      </c>
      <c r="AQ51" s="2">
        <v>7</v>
      </c>
      <c r="AR51" s="2"/>
      <c r="AS51" s="2"/>
      <c r="AT51" s="2">
        <v>4</v>
      </c>
      <c r="AU51" s="2">
        <f t="shared" si="12"/>
        <v>1332</v>
      </c>
      <c r="AV51" s="2">
        <f t="shared" si="13"/>
        <v>1332</v>
      </c>
      <c r="AW51" s="1">
        <f t="shared" si="14"/>
        <v>242.18181818181819</v>
      </c>
      <c r="AX51" s="2">
        <v>4000</v>
      </c>
      <c r="AY51" s="2"/>
      <c r="AZ51" s="2"/>
      <c r="BA51" s="2">
        <f t="shared" si="15"/>
        <v>4000</v>
      </c>
      <c r="BB51" s="2">
        <f t="shared" si="16"/>
        <v>4000</v>
      </c>
      <c r="BC51" s="2">
        <v>0</v>
      </c>
      <c r="BD51" s="2">
        <v>0</v>
      </c>
      <c r="BE51" s="2">
        <v>98</v>
      </c>
      <c r="BF51" s="4">
        <f t="shared" si="17"/>
        <v>0</v>
      </c>
      <c r="BG51" s="2">
        <v>1</v>
      </c>
      <c r="BH51" s="5">
        <f t="shared" si="18"/>
        <v>2.9999999999999995E-2</v>
      </c>
      <c r="BI51" s="2">
        <v>98</v>
      </c>
      <c r="BJ51" s="2">
        <v>3</v>
      </c>
      <c r="BK51" s="2">
        <v>1</v>
      </c>
      <c r="BL51" s="3">
        <v>97</v>
      </c>
      <c r="BM51" s="2">
        <f t="shared" si="19"/>
        <v>0</v>
      </c>
      <c r="BN51" s="2">
        <v>0</v>
      </c>
      <c r="BO51" s="2">
        <v>99997</v>
      </c>
      <c r="BP51" s="2">
        <v>3</v>
      </c>
      <c r="BQ51" s="2">
        <v>97</v>
      </c>
      <c r="BR51" s="2">
        <v>1</v>
      </c>
      <c r="BS51" s="2">
        <v>0</v>
      </c>
      <c r="BT51" s="2">
        <v>97</v>
      </c>
      <c r="BU51" s="2">
        <v>1</v>
      </c>
      <c r="BV51" s="2">
        <v>1</v>
      </c>
      <c r="BW51" s="2">
        <v>0</v>
      </c>
      <c r="BX51" s="2">
        <v>1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97</v>
      </c>
      <c r="CL51" s="2" t="s">
        <v>116</v>
      </c>
      <c r="CM51" s="2">
        <v>7</v>
      </c>
      <c r="CN51" s="2">
        <v>1</v>
      </c>
      <c r="CO51" s="2">
        <v>1</v>
      </c>
    </row>
    <row r="52" spans="1:93">
      <c r="A52">
        <v>75</v>
      </c>
      <c r="B52" t="s">
        <v>81</v>
      </c>
      <c r="C52" s="2">
        <v>97</v>
      </c>
      <c r="D52" s="2" t="s">
        <v>168</v>
      </c>
      <c r="E52" t="s">
        <v>115</v>
      </c>
      <c r="F52" s="2">
        <v>1</v>
      </c>
      <c r="G52" s="2">
        <v>0</v>
      </c>
      <c r="H52" s="2">
        <v>9</v>
      </c>
      <c r="I52" s="2">
        <f t="shared" si="10"/>
        <v>0.65999999999999992</v>
      </c>
      <c r="J52" s="2">
        <f t="shared" si="11"/>
        <v>2.9999999999999995E-2</v>
      </c>
      <c r="K52" s="4">
        <v>0.03</v>
      </c>
      <c r="L52" s="2">
        <v>6</v>
      </c>
      <c r="M52" s="2">
        <v>0</v>
      </c>
      <c r="N52" s="2">
        <v>3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1</v>
      </c>
      <c r="AB52" s="2">
        <v>1</v>
      </c>
      <c r="AC52" s="2">
        <v>7</v>
      </c>
      <c r="AD52" s="2">
        <v>97</v>
      </c>
      <c r="AE52" s="2">
        <v>97</v>
      </c>
      <c r="AF52" s="2">
        <v>97</v>
      </c>
      <c r="AG52" s="2">
        <v>97</v>
      </c>
      <c r="AH52" s="2">
        <v>97</v>
      </c>
      <c r="AI52" s="2">
        <v>97</v>
      </c>
      <c r="AJ52" s="2">
        <v>97</v>
      </c>
      <c r="AK52" s="2">
        <v>97</v>
      </c>
      <c r="AL52" s="2">
        <v>97</v>
      </c>
      <c r="AM52" s="2">
        <v>97</v>
      </c>
      <c r="AN52" s="2">
        <v>97</v>
      </c>
      <c r="AO52" s="2">
        <v>97</v>
      </c>
      <c r="AP52" s="2">
        <v>1</v>
      </c>
      <c r="AQ52" s="2">
        <v>7</v>
      </c>
      <c r="AR52" s="2">
        <v>1</v>
      </c>
      <c r="AS52" s="2"/>
      <c r="AT52" s="2"/>
      <c r="AU52" s="2">
        <f t="shared" si="12"/>
        <v>1</v>
      </c>
      <c r="AV52" s="2">
        <f t="shared" si="13"/>
        <v>1</v>
      </c>
      <c r="AW52" s="1">
        <f t="shared" si="14"/>
        <v>0.18181818181818182</v>
      </c>
      <c r="AX52" s="2">
        <v>2</v>
      </c>
      <c r="AY52" s="2"/>
      <c r="AZ52" s="2"/>
      <c r="BA52" s="2">
        <f t="shared" si="15"/>
        <v>2</v>
      </c>
      <c r="BB52" s="2">
        <f t="shared" si="16"/>
        <v>2</v>
      </c>
      <c r="BC52" s="2">
        <v>0</v>
      </c>
      <c r="BD52" s="2">
        <v>98</v>
      </c>
      <c r="BE52" s="2">
        <v>1</v>
      </c>
      <c r="BF52" s="4">
        <f t="shared" si="17"/>
        <v>1</v>
      </c>
      <c r="BG52" s="2">
        <v>5</v>
      </c>
      <c r="BH52" s="5">
        <f t="shared" si="18"/>
        <v>0.14999999999999997</v>
      </c>
      <c r="BI52" s="2">
        <v>1</v>
      </c>
      <c r="BJ52" s="2">
        <v>1</v>
      </c>
      <c r="BK52" s="2">
        <v>0</v>
      </c>
      <c r="BL52" t="s">
        <v>83</v>
      </c>
      <c r="BM52" s="2">
        <f t="shared" si="19"/>
        <v>1</v>
      </c>
      <c r="BN52" s="2">
        <v>0</v>
      </c>
      <c r="BO52" s="2">
        <v>99997</v>
      </c>
      <c r="BP52" s="2">
        <v>1</v>
      </c>
      <c r="BQ52" s="2">
        <v>97</v>
      </c>
      <c r="BR52" s="2">
        <v>1</v>
      </c>
      <c r="BS52" s="2">
        <v>0</v>
      </c>
      <c r="BT52" s="2">
        <v>97</v>
      </c>
      <c r="BU52" s="2">
        <v>1</v>
      </c>
      <c r="BV52" s="2">
        <v>1</v>
      </c>
      <c r="BW52" s="2">
        <v>1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97</v>
      </c>
      <c r="CL52" s="2">
        <v>97</v>
      </c>
      <c r="CM52" s="2">
        <v>4</v>
      </c>
      <c r="CN52" s="2">
        <v>1</v>
      </c>
      <c r="CO52" s="2">
        <v>1</v>
      </c>
    </row>
    <row r="53" spans="1:93">
      <c r="A53">
        <v>74</v>
      </c>
      <c r="B53" t="s">
        <v>91</v>
      </c>
      <c r="C53" s="2">
        <v>97</v>
      </c>
      <c r="D53" s="2" t="s">
        <v>168</v>
      </c>
      <c r="E53" t="s">
        <v>95</v>
      </c>
      <c r="F53" s="2">
        <v>1</v>
      </c>
      <c r="G53" s="2">
        <v>1</v>
      </c>
      <c r="H53" s="2">
        <v>8</v>
      </c>
      <c r="I53" s="2">
        <f t="shared" si="10"/>
        <v>2.0019999999999998</v>
      </c>
      <c r="J53" s="2">
        <f t="shared" si="11"/>
        <v>9.0999999999999984E-2</v>
      </c>
      <c r="K53" s="4">
        <v>9.0999999999999998E-2</v>
      </c>
      <c r="L53" s="2">
        <v>6</v>
      </c>
      <c r="M53" s="2">
        <v>0</v>
      </c>
      <c r="N53" s="2">
        <v>3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>
        <v>1</v>
      </c>
      <c r="AC53" s="2">
        <v>7</v>
      </c>
      <c r="AD53" s="2">
        <v>97</v>
      </c>
      <c r="AE53" s="2">
        <v>97</v>
      </c>
      <c r="AF53" s="2">
        <v>97</v>
      </c>
      <c r="AG53" s="2">
        <v>97</v>
      </c>
      <c r="AH53" s="2">
        <v>97</v>
      </c>
      <c r="AI53" s="2">
        <v>97</v>
      </c>
      <c r="AJ53" s="2">
        <v>97</v>
      </c>
      <c r="AK53" s="2">
        <v>97</v>
      </c>
      <c r="AL53" s="2">
        <v>97</v>
      </c>
      <c r="AM53" s="2">
        <v>97</v>
      </c>
      <c r="AN53" s="2">
        <v>97</v>
      </c>
      <c r="AO53" s="2">
        <v>97</v>
      </c>
      <c r="AP53" s="2">
        <v>2</v>
      </c>
      <c r="AQ53" s="2">
        <v>2</v>
      </c>
      <c r="AR53" s="2"/>
      <c r="AS53" s="2"/>
      <c r="AT53" s="2">
        <v>4</v>
      </c>
      <c r="AU53" s="2">
        <f t="shared" si="12"/>
        <v>1332</v>
      </c>
      <c r="AV53" s="2">
        <f t="shared" si="13"/>
        <v>1332</v>
      </c>
      <c r="AW53" s="1">
        <f t="shared" si="14"/>
        <v>242.18181818181819</v>
      </c>
      <c r="AX53" s="2"/>
      <c r="AY53" s="2"/>
      <c r="AZ53" s="2">
        <v>0.5</v>
      </c>
      <c r="BA53" s="2">
        <f t="shared" si="15"/>
        <v>166.5</v>
      </c>
      <c r="BB53" s="2">
        <f t="shared" si="16"/>
        <v>166.5</v>
      </c>
      <c r="BC53" s="2">
        <v>1</v>
      </c>
      <c r="BD53" s="2">
        <v>1</v>
      </c>
      <c r="BE53" s="2">
        <v>1</v>
      </c>
      <c r="BF53" s="4">
        <f t="shared" si="17"/>
        <v>1</v>
      </c>
      <c r="BG53" s="2">
        <v>1</v>
      </c>
      <c r="BH53" s="5">
        <f t="shared" si="18"/>
        <v>9.0999999999999984E-2</v>
      </c>
      <c r="BI53" s="2">
        <v>1</v>
      </c>
      <c r="BJ53" s="2">
        <v>4</v>
      </c>
      <c r="BK53" s="2">
        <v>1</v>
      </c>
      <c r="BL53" s="3">
        <v>97</v>
      </c>
      <c r="BM53" s="2">
        <f t="shared" si="19"/>
        <v>0</v>
      </c>
      <c r="BN53" s="2">
        <v>0</v>
      </c>
      <c r="BO53" s="2">
        <v>99997</v>
      </c>
      <c r="BP53" s="2">
        <v>3</v>
      </c>
      <c r="BQ53" s="2">
        <v>97</v>
      </c>
      <c r="BR53" s="2">
        <v>1</v>
      </c>
      <c r="BS53" s="2">
        <v>0</v>
      </c>
      <c r="BT53" s="2">
        <v>97</v>
      </c>
      <c r="BU53" s="2">
        <v>1</v>
      </c>
      <c r="BV53" s="2">
        <v>1</v>
      </c>
      <c r="BW53" s="2">
        <v>0</v>
      </c>
      <c r="BX53" s="2">
        <v>0</v>
      </c>
      <c r="BY53" s="2">
        <v>0</v>
      </c>
      <c r="BZ53" s="2">
        <v>0</v>
      </c>
      <c r="CA53" s="2">
        <v>1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</v>
      </c>
      <c r="CI53" s="2">
        <v>0</v>
      </c>
      <c r="CJ53" s="2">
        <v>0</v>
      </c>
      <c r="CK53" s="2">
        <v>97</v>
      </c>
      <c r="CL53" s="2">
        <v>97</v>
      </c>
      <c r="CM53" s="2">
        <v>3</v>
      </c>
      <c r="CN53" s="2">
        <v>5</v>
      </c>
      <c r="CO53" s="2">
        <v>3</v>
      </c>
    </row>
    <row r="54" spans="1:93">
      <c r="A54">
        <v>72</v>
      </c>
      <c r="B54" t="s">
        <v>91</v>
      </c>
      <c r="C54" s="2">
        <v>14</v>
      </c>
      <c r="D54" s="2" t="s">
        <v>167</v>
      </c>
      <c r="E54">
        <v>97</v>
      </c>
      <c r="F54" s="2">
        <v>1</v>
      </c>
      <c r="G54" s="2">
        <v>1</v>
      </c>
      <c r="H54" s="2">
        <v>3</v>
      </c>
      <c r="I54" s="2">
        <f t="shared" si="10"/>
        <v>99</v>
      </c>
      <c r="J54" s="2">
        <f t="shared" si="11"/>
        <v>4.5</v>
      </c>
      <c r="K54" s="4">
        <v>1</v>
      </c>
      <c r="L54" s="2">
        <v>7</v>
      </c>
      <c r="M54" s="2">
        <v>1</v>
      </c>
      <c r="N54" s="2">
        <v>3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</v>
      </c>
      <c r="U54" s="2">
        <v>0</v>
      </c>
      <c r="V54" s="2">
        <v>0</v>
      </c>
      <c r="W54" s="2">
        <v>1</v>
      </c>
      <c r="X54" s="2">
        <v>0</v>
      </c>
      <c r="Y54" s="2">
        <v>0</v>
      </c>
      <c r="Z54" s="2">
        <v>0</v>
      </c>
      <c r="AA54" s="2">
        <v>1</v>
      </c>
      <c r="AB54" s="2">
        <v>1</v>
      </c>
      <c r="AC54" s="2">
        <v>7</v>
      </c>
      <c r="AD54" s="2">
        <v>97</v>
      </c>
      <c r="AE54" s="2">
        <v>97</v>
      </c>
      <c r="AF54" s="2">
        <v>97</v>
      </c>
      <c r="AG54" s="2">
        <v>97</v>
      </c>
      <c r="AH54" s="2">
        <v>97</v>
      </c>
      <c r="AI54" s="2">
        <v>97</v>
      </c>
      <c r="AJ54" s="2">
        <v>97</v>
      </c>
      <c r="AK54" s="2">
        <v>97</v>
      </c>
      <c r="AL54" s="2">
        <v>97</v>
      </c>
      <c r="AM54" s="2">
        <v>97</v>
      </c>
      <c r="AN54" s="2">
        <v>97</v>
      </c>
      <c r="AO54" s="2">
        <v>97</v>
      </c>
      <c r="AP54" s="2">
        <v>1</v>
      </c>
      <c r="AQ54" s="2">
        <v>1</v>
      </c>
      <c r="AR54" s="2"/>
      <c r="AS54" s="2"/>
      <c r="AT54" s="2">
        <v>3</v>
      </c>
      <c r="AU54" s="2">
        <f t="shared" si="12"/>
        <v>999</v>
      </c>
      <c r="AV54" s="2">
        <f t="shared" si="13"/>
        <v>999</v>
      </c>
      <c r="AW54" s="1">
        <f t="shared" si="14"/>
        <v>181.63636363636363</v>
      </c>
      <c r="AX54" s="2">
        <v>600</v>
      </c>
      <c r="AY54" s="2"/>
      <c r="AZ54" s="2"/>
      <c r="BA54" s="2">
        <f t="shared" si="15"/>
        <v>600</v>
      </c>
      <c r="BB54" s="2">
        <f t="shared" si="16"/>
        <v>600</v>
      </c>
      <c r="BC54" s="2">
        <v>0</v>
      </c>
      <c r="BD54" s="2">
        <v>1</v>
      </c>
      <c r="BE54" s="2">
        <v>25</v>
      </c>
      <c r="BF54" s="4">
        <f t="shared" si="17"/>
        <v>25</v>
      </c>
      <c r="BG54" s="2">
        <v>2</v>
      </c>
      <c r="BH54" s="5">
        <f t="shared" si="18"/>
        <v>9</v>
      </c>
      <c r="BI54" s="2">
        <v>1</v>
      </c>
      <c r="BJ54" s="2">
        <v>6</v>
      </c>
      <c r="BK54" s="2">
        <v>1</v>
      </c>
      <c r="BL54" s="3">
        <v>97</v>
      </c>
      <c r="BM54" s="2">
        <f t="shared" si="19"/>
        <v>0</v>
      </c>
      <c r="BN54" s="2">
        <v>0</v>
      </c>
      <c r="BO54" s="2">
        <v>99997</v>
      </c>
      <c r="BP54" s="2">
        <v>3</v>
      </c>
      <c r="BQ54" s="2">
        <v>97</v>
      </c>
      <c r="BR54" s="2">
        <v>1</v>
      </c>
      <c r="BS54" s="2">
        <v>0</v>
      </c>
      <c r="BT54" s="2">
        <v>97</v>
      </c>
      <c r="BU54" s="2">
        <v>1</v>
      </c>
      <c r="BV54" s="2">
        <v>1</v>
      </c>
      <c r="BW54" s="2">
        <v>1</v>
      </c>
      <c r="BX54" s="2">
        <v>1</v>
      </c>
      <c r="BY54" s="2">
        <v>1</v>
      </c>
      <c r="BZ54" s="2">
        <v>0</v>
      </c>
      <c r="CA54" s="2">
        <v>0</v>
      </c>
      <c r="CB54" s="2">
        <v>1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0</v>
      </c>
      <c r="CI54" s="2">
        <v>0</v>
      </c>
      <c r="CJ54" s="2">
        <v>0</v>
      </c>
      <c r="CK54" s="2" t="s">
        <v>114</v>
      </c>
      <c r="CL54" s="2">
        <v>97</v>
      </c>
      <c r="CM54" s="2">
        <v>6</v>
      </c>
      <c r="CN54" s="2">
        <v>5</v>
      </c>
      <c r="CO54" s="2">
        <v>1</v>
      </c>
    </row>
    <row r="55" spans="1:93">
      <c r="A55">
        <v>71</v>
      </c>
      <c r="B55" t="s">
        <v>81</v>
      </c>
      <c r="C55" s="2">
        <v>18</v>
      </c>
      <c r="D55" s="2" t="s">
        <v>173</v>
      </c>
      <c r="E55">
        <v>97</v>
      </c>
      <c r="F55" s="2">
        <v>1</v>
      </c>
      <c r="G55" s="2">
        <v>1</v>
      </c>
      <c r="H55" s="2">
        <v>6</v>
      </c>
      <c r="I55" s="2">
        <f t="shared" si="10"/>
        <v>16.5</v>
      </c>
      <c r="J55" s="2">
        <f t="shared" si="11"/>
        <v>0.75</v>
      </c>
      <c r="K55" s="4">
        <v>0.75</v>
      </c>
      <c r="L55" s="2">
        <v>7</v>
      </c>
      <c r="M55" s="2">
        <v>1</v>
      </c>
      <c r="N55" s="2">
        <v>3</v>
      </c>
      <c r="O55" s="2">
        <v>0</v>
      </c>
      <c r="P55" s="2">
        <v>0</v>
      </c>
      <c r="Q55" s="2">
        <v>0</v>
      </c>
      <c r="R55" s="2">
        <v>0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1</v>
      </c>
      <c r="AB55" s="2">
        <v>1</v>
      </c>
      <c r="AC55" s="2">
        <v>7</v>
      </c>
      <c r="AD55" s="2">
        <v>97</v>
      </c>
      <c r="AE55" s="2">
        <v>97</v>
      </c>
      <c r="AF55" s="2">
        <v>97</v>
      </c>
      <c r="AG55" s="2">
        <v>97</v>
      </c>
      <c r="AH55" s="2">
        <v>97</v>
      </c>
      <c r="AI55" s="2">
        <v>97</v>
      </c>
      <c r="AJ55" s="2">
        <v>97</v>
      </c>
      <c r="AK55" s="2">
        <v>97</v>
      </c>
      <c r="AL55" s="2">
        <v>97</v>
      </c>
      <c r="AM55" s="2">
        <v>97</v>
      </c>
      <c r="AN55" s="2">
        <v>97</v>
      </c>
      <c r="AO55" s="2">
        <v>97</v>
      </c>
      <c r="AP55" s="2">
        <v>1</v>
      </c>
      <c r="AQ55" s="2">
        <v>7</v>
      </c>
      <c r="AR55" s="2"/>
      <c r="AS55" s="2"/>
      <c r="AT55" s="2">
        <v>5</v>
      </c>
      <c r="AU55" s="2">
        <f t="shared" si="12"/>
        <v>1665</v>
      </c>
      <c r="AV55" s="2">
        <f t="shared" si="13"/>
        <v>1665</v>
      </c>
      <c r="AW55" s="1">
        <f t="shared" si="14"/>
        <v>302.72727272727275</v>
      </c>
      <c r="AX55" s="2">
        <v>750</v>
      </c>
      <c r="AY55" s="2"/>
      <c r="AZ55" s="2"/>
      <c r="BA55" s="2">
        <f t="shared" si="15"/>
        <v>750</v>
      </c>
      <c r="BB55" s="2">
        <f t="shared" si="16"/>
        <v>750</v>
      </c>
      <c r="BC55" s="2">
        <v>1</v>
      </c>
      <c r="BD55" s="2">
        <v>1</v>
      </c>
      <c r="BE55" s="2">
        <v>7</v>
      </c>
      <c r="BF55" s="4">
        <f t="shared" si="17"/>
        <v>7</v>
      </c>
      <c r="BG55" s="2">
        <v>2</v>
      </c>
      <c r="BH55" s="5">
        <f t="shared" si="18"/>
        <v>1.5</v>
      </c>
      <c r="BI55" s="2">
        <v>98</v>
      </c>
      <c r="BJ55" s="2">
        <v>4</v>
      </c>
      <c r="BK55" s="2">
        <v>0</v>
      </c>
      <c r="BL55" t="s">
        <v>83</v>
      </c>
      <c r="BM55" s="2">
        <f t="shared" si="19"/>
        <v>1</v>
      </c>
      <c r="BN55" s="2">
        <v>1</v>
      </c>
      <c r="BO55" s="2">
        <v>30</v>
      </c>
      <c r="BP55" s="2">
        <v>3</v>
      </c>
      <c r="BQ55" s="2">
        <v>97</v>
      </c>
      <c r="BR55" s="2">
        <v>1</v>
      </c>
      <c r="BS55" s="2">
        <v>0</v>
      </c>
      <c r="BT55" s="2">
        <v>97</v>
      </c>
      <c r="BU55" s="2">
        <v>1</v>
      </c>
      <c r="BV55" s="2">
        <v>1</v>
      </c>
      <c r="BW55" s="2">
        <v>0</v>
      </c>
      <c r="BX55" s="2">
        <v>1</v>
      </c>
      <c r="BY55" s="2">
        <v>1</v>
      </c>
      <c r="BZ55" s="2">
        <v>0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</v>
      </c>
      <c r="CI55" s="2">
        <v>0</v>
      </c>
      <c r="CJ55" s="2">
        <v>0</v>
      </c>
      <c r="CK55" s="2">
        <v>97</v>
      </c>
      <c r="CL55" s="2">
        <v>97</v>
      </c>
      <c r="CM55" s="2">
        <v>98</v>
      </c>
      <c r="CN55" s="2">
        <v>7</v>
      </c>
      <c r="CO55" s="2">
        <v>99</v>
      </c>
    </row>
    <row r="56" spans="1:93">
      <c r="A56">
        <v>70</v>
      </c>
      <c r="B56" t="s">
        <v>91</v>
      </c>
      <c r="C56" s="2">
        <v>4</v>
      </c>
      <c r="D56" s="2" t="s">
        <v>176</v>
      </c>
      <c r="E56">
        <v>97</v>
      </c>
      <c r="F56" s="2">
        <v>1</v>
      </c>
      <c r="G56" s="2">
        <v>1</v>
      </c>
      <c r="H56" s="2">
        <v>6</v>
      </c>
      <c r="I56" s="2">
        <f t="shared" si="10"/>
        <v>16.5</v>
      </c>
      <c r="J56" s="2">
        <f t="shared" si="11"/>
        <v>0.75</v>
      </c>
      <c r="K56" s="4">
        <v>0.75</v>
      </c>
      <c r="L56" s="2">
        <v>7</v>
      </c>
      <c r="M56" s="2">
        <v>1</v>
      </c>
      <c r="N56" s="2">
        <v>3</v>
      </c>
      <c r="O56" s="2">
        <v>0</v>
      </c>
      <c r="P56" s="2">
        <v>0</v>
      </c>
      <c r="Q56" s="2">
        <v>1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1</v>
      </c>
      <c r="AB56" s="2">
        <v>0</v>
      </c>
      <c r="AC56" s="2">
        <v>7</v>
      </c>
      <c r="AD56" s="2">
        <v>97</v>
      </c>
      <c r="AE56" s="2">
        <v>97</v>
      </c>
      <c r="AF56" s="2">
        <v>97</v>
      </c>
      <c r="AG56" s="2">
        <v>97</v>
      </c>
      <c r="AH56" s="2">
        <v>97</v>
      </c>
      <c r="AI56" s="2">
        <v>97</v>
      </c>
      <c r="AJ56" s="2">
        <v>97</v>
      </c>
      <c r="AK56" s="2">
        <v>97</v>
      </c>
      <c r="AL56" s="2">
        <v>97</v>
      </c>
      <c r="AM56" s="2">
        <v>97</v>
      </c>
      <c r="AN56" s="2">
        <v>97</v>
      </c>
      <c r="AO56" s="2">
        <v>97</v>
      </c>
      <c r="AP56" s="2">
        <v>2</v>
      </c>
      <c r="AQ56" s="2">
        <v>1</v>
      </c>
      <c r="AR56" s="2"/>
      <c r="AS56" s="2">
        <v>4</v>
      </c>
      <c r="AT56" s="2"/>
      <c r="AU56" s="2">
        <f t="shared" si="12"/>
        <v>1332</v>
      </c>
      <c r="AV56" s="2">
        <f t="shared" si="13"/>
        <v>1332</v>
      </c>
      <c r="AW56" s="1">
        <f t="shared" si="14"/>
        <v>242.18181818181819</v>
      </c>
      <c r="AX56" s="2"/>
      <c r="AY56" s="2">
        <v>1</v>
      </c>
      <c r="AZ56" s="2"/>
      <c r="BA56" s="2">
        <f t="shared" si="15"/>
        <v>333</v>
      </c>
      <c r="BB56" s="2">
        <f t="shared" si="16"/>
        <v>333</v>
      </c>
      <c r="BC56" s="2">
        <v>1</v>
      </c>
      <c r="BD56" s="2">
        <v>1</v>
      </c>
      <c r="BE56" s="2">
        <v>3</v>
      </c>
      <c r="BF56" s="4">
        <f t="shared" si="17"/>
        <v>3</v>
      </c>
      <c r="BG56" s="2">
        <v>1</v>
      </c>
      <c r="BH56" s="5">
        <f t="shared" si="18"/>
        <v>0.75</v>
      </c>
      <c r="BI56" s="2">
        <v>0</v>
      </c>
      <c r="BJ56" s="2">
        <v>2</v>
      </c>
      <c r="BK56" s="2">
        <v>0</v>
      </c>
      <c r="BL56" t="s">
        <v>83</v>
      </c>
      <c r="BM56" s="2">
        <f t="shared" si="19"/>
        <v>1</v>
      </c>
      <c r="BN56" s="2">
        <v>0</v>
      </c>
      <c r="BO56" s="2">
        <v>99997</v>
      </c>
      <c r="BP56" s="2">
        <v>3</v>
      </c>
      <c r="BQ56" s="2">
        <v>97</v>
      </c>
      <c r="BR56" s="2">
        <v>1</v>
      </c>
      <c r="BS56" s="2">
        <v>0</v>
      </c>
      <c r="BT56" s="2">
        <v>97</v>
      </c>
      <c r="BU56" s="2">
        <v>1</v>
      </c>
      <c r="BV56" s="2">
        <v>0</v>
      </c>
      <c r="BW56" s="2">
        <v>0</v>
      </c>
      <c r="BX56" s="2">
        <v>0</v>
      </c>
      <c r="BY56" s="2">
        <v>0</v>
      </c>
      <c r="BZ56" s="2">
        <v>0</v>
      </c>
      <c r="CA56" s="2">
        <v>0</v>
      </c>
      <c r="CB56" s="2">
        <v>0</v>
      </c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>
        <v>0</v>
      </c>
      <c r="CJ56" s="2">
        <v>0</v>
      </c>
      <c r="CK56" s="2" t="s">
        <v>112</v>
      </c>
      <c r="CL56" s="2" t="s">
        <v>113</v>
      </c>
      <c r="CM56" s="2">
        <v>6</v>
      </c>
      <c r="CN56" s="2">
        <v>5</v>
      </c>
      <c r="CO56" s="2">
        <v>5</v>
      </c>
    </row>
    <row r="57" spans="1:93">
      <c r="A57">
        <v>69</v>
      </c>
      <c r="B57" t="s">
        <v>85</v>
      </c>
      <c r="C57" s="2">
        <v>7</v>
      </c>
      <c r="D57" s="2" t="s">
        <v>175</v>
      </c>
      <c r="E57">
        <v>97</v>
      </c>
      <c r="F57" s="2">
        <v>1</v>
      </c>
      <c r="G57" s="2">
        <v>1</v>
      </c>
      <c r="H57" s="2">
        <v>6</v>
      </c>
      <c r="I57" s="2">
        <f t="shared" si="10"/>
        <v>16.5</v>
      </c>
      <c r="J57" s="2">
        <f t="shared" si="11"/>
        <v>0.75</v>
      </c>
      <c r="K57" s="4">
        <v>0.75</v>
      </c>
      <c r="L57" s="2">
        <v>7</v>
      </c>
      <c r="M57" s="2">
        <v>0</v>
      </c>
      <c r="N57" s="2">
        <v>3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1</v>
      </c>
      <c r="U57" s="2">
        <v>1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1</v>
      </c>
      <c r="AB57" s="2">
        <v>1</v>
      </c>
      <c r="AC57" s="2">
        <v>7</v>
      </c>
      <c r="AD57" s="2">
        <v>97</v>
      </c>
      <c r="AE57" s="2">
        <v>97</v>
      </c>
      <c r="AF57" s="2">
        <v>97</v>
      </c>
      <c r="AG57" s="2">
        <v>97</v>
      </c>
      <c r="AH57" s="2">
        <v>97</v>
      </c>
      <c r="AI57" s="2">
        <v>97</v>
      </c>
      <c r="AJ57" s="2">
        <v>97</v>
      </c>
      <c r="AK57" s="2">
        <v>97</v>
      </c>
      <c r="AL57" s="2">
        <v>97</v>
      </c>
      <c r="AM57" s="2">
        <v>97</v>
      </c>
      <c r="AN57" s="2">
        <v>97</v>
      </c>
      <c r="AO57" s="2">
        <v>97</v>
      </c>
      <c r="AP57" s="2">
        <v>3</v>
      </c>
      <c r="AQ57" s="2">
        <v>1</v>
      </c>
      <c r="AR57" s="2"/>
      <c r="AS57" s="2"/>
      <c r="AT57" s="2">
        <v>1</v>
      </c>
      <c r="AU57" s="2">
        <f t="shared" si="12"/>
        <v>333</v>
      </c>
      <c r="AV57" s="2">
        <f t="shared" si="13"/>
        <v>333</v>
      </c>
      <c r="AW57" s="1">
        <f t="shared" si="14"/>
        <v>60.545454545454547</v>
      </c>
      <c r="AX57" s="2">
        <v>150</v>
      </c>
      <c r="AY57" s="2"/>
      <c r="AZ57" s="2"/>
      <c r="BA57" s="2">
        <f t="shared" si="15"/>
        <v>150</v>
      </c>
      <c r="BB57" s="2">
        <f t="shared" si="16"/>
        <v>150</v>
      </c>
      <c r="BC57" s="2">
        <v>0</v>
      </c>
      <c r="BD57" s="2">
        <v>1</v>
      </c>
      <c r="BE57" s="2">
        <v>5</v>
      </c>
      <c r="BF57" s="4">
        <f t="shared" si="17"/>
        <v>5</v>
      </c>
      <c r="BG57" s="2">
        <v>2</v>
      </c>
      <c r="BH57" s="5">
        <f t="shared" si="18"/>
        <v>1.5</v>
      </c>
      <c r="BI57" s="2">
        <v>98</v>
      </c>
      <c r="BJ57" s="2">
        <v>4</v>
      </c>
      <c r="BK57" s="2">
        <v>0</v>
      </c>
      <c r="BL57" t="s">
        <v>83</v>
      </c>
      <c r="BM57" s="2">
        <f t="shared" si="19"/>
        <v>1</v>
      </c>
      <c r="BN57" s="2">
        <v>0</v>
      </c>
      <c r="BO57" s="2">
        <v>99997</v>
      </c>
      <c r="BP57" s="2">
        <v>3</v>
      </c>
      <c r="BQ57" s="2">
        <v>97</v>
      </c>
      <c r="BR57" s="2">
        <v>1</v>
      </c>
      <c r="BS57" s="2">
        <v>0</v>
      </c>
      <c r="BT57" s="2">
        <v>97</v>
      </c>
      <c r="BU57" s="2">
        <v>1</v>
      </c>
      <c r="BV57" s="2">
        <v>1</v>
      </c>
      <c r="BW57" s="2">
        <v>1</v>
      </c>
      <c r="BX57" s="2">
        <v>1</v>
      </c>
      <c r="BY57" s="2">
        <v>1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97</v>
      </c>
      <c r="CL57" s="2">
        <v>97</v>
      </c>
      <c r="CM57" s="2">
        <v>98</v>
      </c>
      <c r="CN57" s="2">
        <v>6</v>
      </c>
      <c r="CO57" s="2">
        <v>99</v>
      </c>
    </row>
    <row r="58" spans="1:93">
      <c r="A58">
        <v>68</v>
      </c>
      <c r="B58" t="s">
        <v>81</v>
      </c>
      <c r="C58" s="2">
        <v>18</v>
      </c>
      <c r="D58" s="2" t="s">
        <v>173</v>
      </c>
      <c r="E58">
        <v>97</v>
      </c>
      <c r="F58" s="2">
        <v>0</v>
      </c>
      <c r="G58" s="2">
        <v>0</v>
      </c>
      <c r="H58" s="2">
        <v>4</v>
      </c>
      <c r="I58" s="2">
        <f t="shared" si="10"/>
        <v>55</v>
      </c>
      <c r="J58" s="2">
        <f t="shared" si="11"/>
        <v>2.5</v>
      </c>
      <c r="K58" s="4">
        <v>1</v>
      </c>
      <c r="L58" s="2">
        <v>6</v>
      </c>
      <c r="M58" s="2">
        <v>1</v>
      </c>
      <c r="N58" s="2">
        <v>3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1</v>
      </c>
      <c r="U58" s="2">
        <v>1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1</v>
      </c>
      <c r="AB58" s="2">
        <v>1</v>
      </c>
      <c r="AC58" s="2">
        <v>7</v>
      </c>
      <c r="AD58" s="2">
        <v>97</v>
      </c>
      <c r="AE58" s="2">
        <v>97</v>
      </c>
      <c r="AF58" s="2">
        <v>97</v>
      </c>
      <c r="AG58" s="2">
        <v>97</v>
      </c>
      <c r="AH58" s="2">
        <v>97</v>
      </c>
      <c r="AI58" s="2">
        <v>97</v>
      </c>
      <c r="AJ58" s="2">
        <v>97</v>
      </c>
      <c r="AK58" s="2">
        <v>97</v>
      </c>
      <c r="AL58" s="2">
        <v>97</v>
      </c>
      <c r="AM58" s="2">
        <v>97</v>
      </c>
      <c r="AN58" s="2">
        <v>97</v>
      </c>
      <c r="AO58" s="2">
        <v>97</v>
      </c>
      <c r="AP58" s="2">
        <v>1</v>
      </c>
      <c r="AQ58" s="2">
        <v>7</v>
      </c>
      <c r="AR58" s="2">
        <v>400</v>
      </c>
      <c r="AS58" s="2"/>
      <c r="AT58" s="2"/>
      <c r="AU58" s="2">
        <f t="shared" si="12"/>
        <v>400</v>
      </c>
      <c r="AV58" s="2">
        <f t="shared" si="13"/>
        <v>400</v>
      </c>
      <c r="AW58" s="1">
        <f t="shared" si="14"/>
        <v>72.727272727272734</v>
      </c>
      <c r="AX58" s="2">
        <v>40</v>
      </c>
      <c r="AY58" s="2"/>
      <c r="AZ58" s="2"/>
      <c r="BA58" s="2">
        <f t="shared" si="15"/>
        <v>40</v>
      </c>
      <c r="BB58" s="2">
        <f t="shared" si="16"/>
        <v>40</v>
      </c>
      <c r="BC58" s="2">
        <v>0</v>
      </c>
      <c r="BD58" s="2">
        <v>1</v>
      </c>
      <c r="BE58" s="6">
        <v>10</v>
      </c>
      <c r="BF58" s="4">
        <f t="shared" si="17"/>
        <v>10</v>
      </c>
      <c r="BG58" s="2">
        <v>1</v>
      </c>
      <c r="BH58" s="5">
        <f t="shared" si="18"/>
        <v>2.5</v>
      </c>
      <c r="BI58" s="2">
        <v>1</v>
      </c>
      <c r="BJ58" s="2">
        <v>6</v>
      </c>
      <c r="BK58" s="2">
        <v>0</v>
      </c>
      <c r="BL58" t="s">
        <v>83</v>
      </c>
      <c r="BM58" s="2">
        <f t="shared" si="19"/>
        <v>1</v>
      </c>
      <c r="BN58" s="2">
        <v>0</v>
      </c>
      <c r="BO58" s="2">
        <v>99997</v>
      </c>
      <c r="BP58" s="2">
        <v>2</v>
      </c>
      <c r="BQ58" s="2">
        <v>97</v>
      </c>
      <c r="BR58" s="2">
        <v>1</v>
      </c>
      <c r="BS58" s="2">
        <v>0</v>
      </c>
      <c r="BT58" s="2">
        <v>97</v>
      </c>
      <c r="BU58" s="2">
        <v>1</v>
      </c>
      <c r="BV58" s="2">
        <v>1</v>
      </c>
      <c r="BW58" s="2">
        <v>1</v>
      </c>
      <c r="BX58" s="2">
        <v>1</v>
      </c>
      <c r="BY58" s="2">
        <v>1</v>
      </c>
      <c r="BZ58" s="2">
        <v>0</v>
      </c>
      <c r="CA58" s="2">
        <v>1</v>
      </c>
      <c r="CB58" s="2">
        <v>0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</v>
      </c>
      <c r="CI58" s="2">
        <v>0</v>
      </c>
      <c r="CJ58" s="2">
        <v>0</v>
      </c>
      <c r="CK58" s="2">
        <v>97</v>
      </c>
      <c r="CL58" s="2">
        <v>97</v>
      </c>
      <c r="CM58" s="2">
        <v>4</v>
      </c>
      <c r="CN58" s="2">
        <v>4</v>
      </c>
      <c r="CO58" s="2">
        <v>5</v>
      </c>
    </row>
    <row r="59" spans="1:93">
      <c r="A59">
        <v>67</v>
      </c>
      <c r="B59" t="s">
        <v>91</v>
      </c>
      <c r="C59" s="2">
        <v>9</v>
      </c>
      <c r="D59" s="2" t="s">
        <v>162</v>
      </c>
      <c r="E59">
        <v>97</v>
      </c>
      <c r="F59" s="2">
        <v>0</v>
      </c>
      <c r="G59" s="2">
        <v>0</v>
      </c>
      <c r="H59" s="2">
        <v>7</v>
      </c>
      <c r="I59" s="2">
        <f t="shared" si="10"/>
        <v>6.6</v>
      </c>
      <c r="J59" s="2">
        <f t="shared" si="11"/>
        <v>0.3</v>
      </c>
      <c r="K59" s="4">
        <v>0.3</v>
      </c>
      <c r="L59" s="2">
        <v>6</v>
      </c>
      <c r="M59" s="2">
        <v>0</v>
      </c>
      <c r="N59" s="2">
        <v>3</v>
      </c>
      <c r="O59" s="2">
        <v>0</v>
      </c>
      <c r="P59" s="2">
        <v>0</v>
      </c>
      <c r="Q59" s="2">
        <v>0</v>
      </c>
      <c r="R59" s="2">
        <v>1</v>
      </c>
      <c r="S59" s="2">
        <v>1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1</v>
      </c>
      <c r="AC59" s="2">
        <v>7</v>
      </c>
      <c r="AD59" s="2">
        <v>97</v>
      </c>
      <c r="AE59" s="2">
        <v>97</v>
      </c>
      <c r="AF59" s="2">
        <v>97</v>
      </c>
      <c r="AG59" s="2">
        <v>97</v>
      </c>
      <c r="AH59" s="2">
        <v>97</v>
      </c>
      <c r="AI59" s="2">
        <v>97</v>
      </c>
      <c r="AJ59" s="2">
        <v>97</v>
      </c>
      <c r="AK59" s="2">
        <v>97</v>
      </c>
      <c r="AL59" s="2">
        <v>97</v>
      </c>
      <c r="AM59" s="2">
        <v>97</v>
      </c>
      <c r="AN59" s="2">
        <v>97</v>
      </c>
      <c r="AO59" s="2">
        <v>97</v>
      </c>
      <c r="AP59" s="2">
        <v>1</v>
      </c>
      <c r="AQ59" s="2">
        <v>7</v>
      </c>
      <c r="AR59" s="2"/>
      <c r="AS59" s="2">
        <v>0.5</v>
      </c>
      <c r="AT59" s="2"/>
      <c r="AU59" s="2">
        <f t="shared" si="12"/>
        <v>166.5</v>
      </c>
      <c r="AV59" s="2">
        <f t="shared" si="13"/>
        <v>166.5</v>
      </c>
      <c r="AW59" s="1">
        <f t="shared" si="14"/>
        <v>30.272727272727273</v>
      </c>
      <c r="AX59" s="2"/>
      <c r="AY59" s="2">
        <v>0.25</v>
      </c>
      <c r="AZ59" s="2"/>
      <c r="BA59" s="2">
        <f t="shared" si="15"/>
        <v>83.25</v>
      </c>
      <c r="BB59" s="2">
        <f t="shared" si="16"/>
        <v>83.25</v>
      </c>
      <c r="BC59" s="2">
        <v>0</v>
      </c>
      <c r="BD59" s="2">
        <v>0</v>
      </c>
      <c r="BE59" s="2">
        <v>2</v>
      </c>
      <c r="BF59" s="4">
        <f t="shared" si="17"/>
        <v>2</v>
      </c>
      <c r="BG59" s="2">
        <v>1</v>
      </c>
      <c r="BH59" s="5">
        <f t="shared" si="18"/>
        <v>0.3</v>
      </c>
      <c r="BI59" s="2">
        <v>98</v>
      </c>
      <c r="BJ59" s="2">
        <v>2</v>
      </c>
      <c r="BK59" s="2">
        <v>0</v>
      </c>
      <c r="BL59" t="s">
        <v>83</v>
      </c>
      <c r="BM59" s="2">
        <f t="shared" si="19"/>
        <v>1</v>
      </c>
      <c r="BN59" s="2">
        <v>0</v>
      </c>
      <c r="BO59" s="2">
        <v>99997</v>
      </c>
      <c r="BP59" s="2">
        <v>1</v>
      </c>
      <c r="BQ59" s="2">
        <v>97</v>
      </c>
      <c r="BR59" s="2">
        <v>0</v>
      </c>
      <c r="BS59" s="2">
        <v>0</v>
      </c>
      <c r="BT59" s="2">
        <v>97</v>
      </c>
      <c r="BU59" s="2">
        <v>98</v>
      </c>
      <c r="BV59" s="2">
        <v>1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 t="s">
        <v>111</v>
      </c>
      <c r="CL59" s="2">
        <v>97</v>
      </c>
      <c r="CM59" s="2">
        <v>98</v>
      </c>
      <c r="CN59" s="2">
        <v>6</v>
      </c>
      <c r="CO59" s="2">
        <v>6</v>
      </c>
    </row>
    <row r="60" spans="1:93">
      <c r="A60">
        <v>63</v>
      </c>
      <c r="B60" t="s">
        <v>81</v>
      </c>
      <c r="C60" s="2">
        <v>7</v>
      </c>
      <c r="D60" s="2" t="s">
        <v>175</v>
      </c>
      <c r="E60">
        <v>97</v>
      </c>
      <c r="F60" s="2">
        <v>0</v>
      </c>
      <c r="G60" s="2">
        <v>0</v>
      </c>
      <c r="H60" s="2">
        <v>7</v>
      </c>
      <c r="I60" s="2">
        <f t="shared" si="10"/>
        <v>6.6</v>
      </c>
      <c r="J60" s="2">
        <f t="shared" si="11"/>
        <v>0.3</v>
      </c>
      <c r="K60" s="4">
        <v>0.3</v>
      </c>
      <c r="L60" s="2">
        <v>7</v>
      </c>
      <c r="M60" s="2">
        <v>0</v>
      </c>
      <c r="N60" s="2">
        <v>3</v>
      </c>
      <c r="O60" s="2">
        <v>0</v>
      </c>
      <c r="P60" s="2">
        <v>0</v>
      </c>
      <c r="Q60" s="2">
        <v>0</v>
      </c>
      <c r="R60" s="2">
        <v>0</v>
      </c>
      <c r="S60" s="2">
        <v>1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1</v>
      </c>
      <c r="AC60" s="2">
        <v>7</v>
      </c>
      <c r="AD60" s="2">
        <v>97</v>
      </c>
      <c r="AE60" s="2">
        <v>97</v>
      </c>
      <c r="AF60" s="2">
        <v>97</v>
      </c>
      <c r="AG60" s="2">
        <v>97</v>
      </c>
      <c r="AH60" s="2">
        <v>97</v>
      </c>
      <c r="AI60" s="2">
        <v>97</v>
      </c>
      <c r="AJ60" s="2">
        <v>97</v>
      </c>
      <c r="AK60" s="2">
        <v>97</v>
      </c>
      <c r="AL60" s="2">
        <v>97</v>
      </c>
      <c r="AM60" s="2">
        <v>97</v>
      </c>
      <c r="AN60" s="2">
        <v>97</v>
      </c>
      <c r="AO60" s="2">
        <v>97</v>
      </c>
      <c r="AP60" s="2">
        <v>1</v>
      </c>
      <c r="AQ60" s="2">
        <v>4</v>
      </c>
      <c r="AR60" s="2"/>
      <c r="AS60" s="2">
        <v>1</v>
      </c>
      <c r="AT60" s="2"/>
      <c r="AU60" s="2">
        <f t="shared" si="12"/>
        <v>333</v>
      </c>
      <c r="AV60" s="2">
        <f t="shared" si="13"/>
        <v>333</v>
      </c>
      <c r="AW60" s="1">
        <f t="shared" si="14"/>
        <v>60.545454545454547</v>
      </c>
      <c r="AX60" s="2"/>
      <c r="AY60" s="2">
        <v>0.5</v>
      </c>
      <c r="AZ60" s="2"/>
      <c r="BA60" s="2">
        <f t="shared" si="15"/>
        <v>166.5</v>
      </c>
      <c r="BB60" s="2">
        <f t="shared" si="16"/>
        <v>166.5</v>
      </c>
      <c r="BC60" s="2">
        <v>0</v>
      </c>
      <c r="BD60" s="2">
        <v>1</v>
      </c>
      <c r="BE60" s="2">
        <v>4</v>
      </c>
      <c r="BF60" s="4">
        <f t="shared" si="17"/>
        <v>4</v>
      </c>
      <c r="BG60" s="2">
        <v>4</v>
      </c>
      <c r="BH60" s="5">
        <f t="shared" si="18"/>
        <v>1.2</v>
      </c>
      <c r="BI60" s="2">
        <v>1</v>
      </c>
      <c r="BJ60" s="2">
        <v>4</v>
      </c>
      <c r="BK60" s="2">
        <v>0</v>
      </c>
      <c r="BL60" t="s">
        <v>83</v>
      </c>
      <c r="BM60" s="2">
        <f t="shared" si="19"/>
        <v>1</v>
      </c>
      <c r="BN60" s="2">
        <v>0</v>
      </c>
      <c r="BO60" s="2">
        <v>99997</v>
      </c>
      <c r="BP60" s="2">
        <v>1</v>
      </c>
      <c r="BQ60" s="2">
        <v>97</v>
      </c>
      <c r="BR60" s="2">
        <v>0</v>
      </c>
      <c r="BS60" s="2">
        <v>1</v>
      </c>
      <c r="BT60" s="2">
        <v>2</v>
      </c>
      <c r="BU60" s="2">
        <v>1</v>
      </c>
      <c r="BV60" s="2">
        <v>1</v>
      </c>
      <c r="BW60" s="2">
        <v>1</v>
      </c>
      <c r="BX60" s="2">
        <v>1</v>
      </c>
      <c r="BY60" s="2">
        <v>0</v>
      </c>
      <c r="BZ60" s="2">
        <v>0</v>
      </c>
      <c r="CA60" s="2">
        <v>0</v>
      </c>
      <c r="CB60" s="2">
        <v>0</v>
      </c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>
        <v>0</v>
      </c>
      <c r="CJ60" s="2">
        <v>0</v>
      </c>
      <c r="CK60" s="2">
        <v>97</v>
      </c>
      <c r="CL60" s="2">
        <v>97</v>
      </c>
      <c r="CM60" s="2">
        <v>7</v>
      </c>
      <c r="CN60" s="2">
        <v>7</v>
      </c>
      <c r="CO60" s="2">
        <v>3</v>
      </c>
    </row>
    <row r="61" spans="1:93">
      <c r="A61">
        <v>62</v>
      </c>
      <c r="B61" t="s">
        <v>81</v>
      </c>
      <c r="C61" s="2">
        <v>97</v>
      </c>
      <c r="D61" s="2" t="s">
        <v>168</v>
      </c>
      <c r="E61" t="s">
        <v>110</v>
      </c>
      <c r="F61" s="2">
        <v>0</v>
      </c>
      <c r="G61" s="2">
        <v>1</v>
      </c>
      <c r="H61" s="2">
        <v>6</v>
      </c>
      <c r="I61" s="2">
        <f t="shared" si="10"/>
        <v>16.5</v>
      </c>
      <c r="J61" s="2">
        <f t="shared" si="11"/>
        <v>0.75</v>
      </c>
      <c r="K61" s="4">
        <v>0.75</v>
      </c>
      <c r="L61" s="2">
        <v>6</v>
      </c>
      <c r="M61" s="2">
        <v>0</v>
      </c>
      <c r="N61" s="2">
        <v>3</v>
      </c>
      <c r="O61" s="2">
        <v>0</v>
      </c>
      <c r="P61" s="2">
        <v>0</v>
      </c>
      <c r="Q61" s="2">
        <v>0</v>
      </c>
      <c r="R61" s="2">
        <v>0</v>
      </c>
      <c r="S61" s="2">
        <v>1</v>
      </c>
      <c r="T61" s="2">
        <v>1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1</v>
      </c>
      <c r="AC61" s="2">
        <v>6</v>
      </c>
      <c r="AD61" s="2">
        <v>97</v>
      </c>
      <c r="AE61" s="2">
        <v>97</v>
      </c>
      <c r="AF61" s="2">
        <v>97</v>
      </c>
      <c r="AG61" s="2">
        <v>97</v>
      </c>
      <c r="AH61" s="2">
        <v>97</v>
      </c>
      <c r="AI61" s="2">
        <v>97</v>
      </c>
      <c r="AJ61" s="2">
        <v>97</v>
      </c>
      <c r="AK61" s="2">
        <v>97</v>
      </c>
      <c r="AL61" s="2">
        <v>97</v>
      </c>
      <c r="AM61" s="2">
        <v>97</v>
      </c>
      <c r="AN61" s="2">
        <v>97</v>
      </c>
      <c r="AO61" s="2">
        <v>97</v>
      </c>
      <c r="AP61" s="2">
        <v>1</v>
      </c>
      <c r="AQ61" s="2">
        <v>6</v>
      </c>
      <c r="AR61" s="2">
        <v>1000</v>
      </c>
      <c r="AS61" s="2"/>
      <c r="AT61" s="2"/>
      <c r="AU61" s="2">
        <f t="shared" si="12"/>
        <v>1000</v>
      </c>
      <c r="AV61" s="2">
        <f t="shared" si="13"/>
        <v>1000</v>
      </c>
      <c r="AW61" s="1">
        <f t="shared" si="14"/>
        <v>181.81818181818181</v>
      </c>
      <c r="AX61" s="2">
        <v>250</v>
      </c>
      <c r="AY61" s="2"/>
      <c r="AZ61" s="2"/>
      <c r="BA61" s="2">
        <f t="shared" si="15"/>
        <v>250</v>
      </c>
      <c r="BB61" s="2">
        <f t="shared" si="16"/>
        <v>250</v>
      </c>
      <c r="BC61" s="2">
        <v>0</v>
      </c>
      <c r="BD61" s="2">
        <v>1</v>
      </c>
      <c r="BE61" s="2">
        <v>99</v>
      </c>
      <c r="BF61" s="4">
        <f t="shared" si="17"/>
        <v>0</v>
      </c>
      <c r="BG61" s="2">
        <v>99</v>
      </c>
      <c r="BH61" s="5">
        <f t="shared" si="18"/>
        <v>0</v>
      </c>
      <c r="BI61" s="2">
        <v>98</v>
      </c>
      <c r="BJ61" s="2">
        <v>5</v>
      </c>
      <c r="BK61" s="2">
        <v>0</v>
      </c>
      <c r="BL61" t="s">
        <v>83</v>
      </c>
      <c r="BM61" s="2">
        <f t="shared" si="19"/>
        <v>1</v>
      </c>
      <c r="BN61" s="2">
        <v>0</v>
      </c>
      <c r="BO61" s="2">
        <v>99997</v>
      </c>
      <c r="BP61" s="2">
        <v>3</v>
      </c>
      <c r="BQ61" s="2">
        <v>97</v>
      </c>
      <c r="BR61" s="2">
        <v>0</v>
      </c>
      <c r="BS61" s="2">
        <v>0</v>
      </c>
      <c r="BT61" s="2">
        <v>97</v>
      </c>
      <c r="BU61" s="2">
        <v>1</v>
      </c>
      <c r="BV61" s="2">
        <v>1</v>
      </c>
      <c r="BW61" s="2">
        <v>0</v>
      </c>
      <c r="BX61" s="2">
        <v>1</v>
      </c>
      <c r="BY61" s="2">
        <v>0</v>
      </c>
      <c r="BZ61" s="2">
        <v>0</v>
      </c>
      <c r="CA61" s="2">
        <v>0</v>
      </c>
      <c r="CB61" s="2">
        <v>0</v>
      </c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>
        <v>0</v>
      </c>
      <c r="CJ61" s="2">
        <v>0</v>
      </c>
      <c r="CK61" s="2">
        <v>97</v>
      </c>
      <c r="CL61" s="2">
        <v>97</v>
      </c>
      <c r="CM61" s="2">
        <v>4</v>
      </c>
      <c r="CN61" s="2">
        <v>7</v>
      </c>
      <c r="CO61" s="2">
        <v>6</v>
      </c>
    </row>
    <row r="62" spans="1:93">
      <c r="A62">
        <v>61</v>
      </c>
      <c r="B62" t="s">
        <v>91</v>
      </c>
      <c r="C62" s="2">
        <v>7</v>
      </c>
      <c r="D62" s="2" t="s">
        <v>175</v>
      </c>
      <c r="E62">
        <v>97</v>
      </c>
      <c r="F62" s="2">
        <v>0</v>
      </c>
      <c r="G62" s="2">
        <v>0</v>
      </c>
      <c r="H62" s="2">
        <v>5</v>
      </c>
      <c r="I62" s="2">
        <f t="shared" si="10"/>
        <v>22</v>
      </c>
      <c r="J62" s="2">
        <f t="shared" si="11"/>
        <v>1</v>
      </c>
      <c r="K62" s="4">
        <v>1</v>
      </c>
      <c r="L62" s="2">
        <v>6</v>
      </c>
      <c r="M62" s="2">
        <v>0</v>
      </c>
      <c r="N62" s="2">
        <v>3</v>
      </c>
      <c r="O62" s="2">
        <v>0</v>
      </c>
      <c r="P62" s="2">
        <v>0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1</v>
      </c>
      <c r="AC62" s="2">
        <v>6</v>
      </c>
      <c r="AD62" s="2">
        <v>97</v>
      </c>
      <c r="AE62" s="2">
        <v>97</v>
      </c>
      <c r="AF62" s="2">
        <v>97</v>
      </c>
      <c r="AG62" s="2">
        <v>97</v>
      </c>
      <c r="AH62" s="2">
        <v>97</v>
      </c>
      <c r="AI62" s="2">
        <v>97</v>
      </c>
      <c r="AJ62" s="2">
        <v>97</v>
      </c>
      <c r="AK62" s="2">
        <v>97</v>
      </c>
      <c r="AL62" s="2">
        <v>97</v>
      </c>
      <c r="AM62" s="2">
        <v>97</v>
      </c>
      <c r="AN62" s="2">
        <v>97</v>
      </c>
      <c r="AO62" s="2">
        <v>97</v>
      </c>
      <c r="AP62" s="2">
        <v>1</v>
      </c>
      <c r="AQ62" s="2">
        <v>7</v>
      </c>
      <c r="AR62" s="2"/>
      <c r="AS62" s="2">
        <v>3</v>
      </c>
      <c r="AT62" s="2"/>
      <c r="AU62" s="2">
        <f t="shared" si="12"/>
        <v>999</v>
      </c>
      <c r="AV62" s="2">
        <f t="shared" si="13"/>
        <v>999</v>
      </c>
      <c r="AW62" s="1">
        <f t="shared" si="14"/>
        <v>181.63636363636363</v>
      </c>
      <c r="AX62" s="2"/>
      <c r="AY62" s="2">
        <v>0.5</v>
      </c>
      <c r="AZ62" s="2"/>
      <c r="BA62" s="2">
        <f t="shared" si="15"/>
        <v>166.5</v>
      </c>
      <c r="BB62" s="2">
        <f t="shared" si="16"/>
        <v>166.5</v>
      </c>
      <c r="BC62" s="2">
        <v>0</v>
      </c>
      <c r="BD62" s="2">
        <v>1</v>
      </c>
      <c r="BE62" s="2">
        <v>99</v>
      </c>
      <c r="BF62" s="4">
        <f t="shared" si="17"/>
        <v>0</v>
      </c>
      <c r="BG62" s="2">
        <v>99</v>
      </c>
      <c r="BH62" s="5">
        <f t="shared" si="18"/>
        <v>0</v>
      </c>
      <c r="BI62" s="2">
        <v>0</v>
      </c>
      <c r="BJ62" s="2">
        <v>5</v>
      </c>
      <c r="BK62" s="2">
        <v>0</v>
      </c>
      <c r="BL62" t="s">
        <v>83</v>
      </c>
      <c r="BM62" s="2">
        <f t="shared" si="19"/>
        <v>1</v>
      </c>
      <c r="BN62" s="2">
        <v>0</v>
      </c>
      <c r="BO62" s="2">
        <v>99997</v>
      </c>
      <c r="BP62" s="2">
        <v>1</v>
      </c>
      <c r="BQ62" s="2">
        <v>97</v>
      </c>
      <c r="BR62" s="2">
        <v>1</v>
      </c>
      <c r="BS62" s="2">
        <v>0</v>
      </c>
      <c r="BT62" s="2">
        <v>97</v>
      </c>
      <c r="BU62" s="2">
        <v>1</v>
      </c>
      <c r="BV62" s="2">
        <v>1</v>
      </c>
      <c r="BW62" s="2">
        <v>1</v>
      </c>
      <c r="BX62" s="2">
        <v>1</v>
      </c>
      <c r="BY62" s="2">
        <v>0</v>
      </c>
      <c r="BZ62" s="2">
        <v>0</v>
      </c>
      <c r="CA62" s="2">
        <v>0</v>
      </c>
      <c r="CB62" s="2">
        <v>0</v>
      </c>
      <c r="CC62" s="2">
        <v>0</v>
      </c>
      <c r="CD62" s="2">
        <v>0</v>
      </c>
      <c r="CE62" s="2">
        <v>0</v>
      </c>
      <c r="CF62" s="2">
        <v>0</v>
      </c>
      <c r="CG62" s="2">
        <v>0</v>
      </c>
      <c r="CH62" s="2">
        <v>0</v>
      </c>
      <c r="CI62" s="2">
        <v>0</v>
      </c>
      <c r="CJ62" s="2">
        <v>0</v>
      </c>
      <c r="CK62" s="2">
        <v>97</v>
      </c>
      <c r="CL62" s="2">
        <v>97</v>
      </c>
      <c r="CM62" s="2">
        <v>98</v>
      </c>
      <c r="CN62" s="2">
        <v>6</v>
      </c>
      <c r="CO62" s="2">
        <v>1</v>
      </c>
    </row>
    <row r="63" spans="1:93">
      <c r="A63">
        <v>60</v>
      </c>
      <c r="B63" t="s">
        <v>91</v>
      </c>
      <c r="C63" s="2">
        <v>7</v>
      </c>
      <c r="D63" s="2" t="s">
        <v>175</v>
      </c>
      <c r="E63">
        <v>97</v>
      </c>
      <c r="F63" s="2">
        <v>0</v>
      </c>
      <c r="G63" s="2">
        <v>0</v>
      </c>
      <c r="H63" s="2">
        <v>6</v>
      </c>
      <c r="I63" s="2">
        <f t="shared" si="10"/>
        <v>16.5</v>
      </c>
      <c r="J63" s="2">
        <f t="shared" si="11"/>
        <v>0.75</v>
      </c>
      <c r="K63" s="4">
        <v>0.75</v>
      </c>
      <c r="L63" s="2">
        <v>6</v>
      </c>
      <c r="M63" s="2">
        <v>0</v>
      </c>
      <c r="N63" s="2">
        <v>3</v>
      </c>
      <c r="O63" s="2">
        <v>0</v>
      </c>
      <c r="P63" s="2">
        <v>0</v>
      </c>
      <c r="Q63" s="2">
        <v>0</v>
      </c>
      <c r="R63" s="2">
        <v>0</v>
      </c>
      <c r="S63" s="2">
        <v>1</v>
      </c>
      <c r="T63" s="2">
        <v>1</v>
      </c>
      <c r="U63" s="2">
        <v>1</v>
      </c>
      <c r="V63" s="2">
        <v>1</v>
      </c>
      <c r="W63" s="2">
        <v>1</v>
      </c>
      <c r="X63" s="2">
        <v>1</v>
      </c>
      <c r="Y63" s="2">
        <v>0</v>
      </c>
      <c r="Z63" s="2">
        <v>0</v>
      </c>
      <c r="AA63" s="2">
        <v>0</v>
      </c>
      <c r="AB63" s="2">
        <v>1</v>
      </c>
      <c r="AC63" s="2">
        <v>2</v>
      </c>
      <c r="AD63" s="2">
        <v>0</v>
      </c>
      <c r="AE63" s="2">
        <v>0</v>
      </c>
      <c r="AF63" s="2">
        <v>0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1</v>
      </c>
      <c r="AQ63" s="2">
        <v>4</v>
      </c>
      <c r="AR63" s="2"/>
      <c r="AS63" s="2">
        <v>2</v>
      </c>
      <c r="AT63" s="2"/>
      <c r="AU63" s="2">
        <f t="shared" si="12"/>
        <v>666</v>
      </c>
      <c r="AV63" s="2">
        <f t="shared" si="13"/>
        <v>666</v>
      </c>
      <c r="AW63" s="1">
        <f t="shared" si="14"/>
        <v>121.09090909090909</v>
      </c>
      <c r="AX63" s="2"/>
      <c r="AY63" s="2">
        <v>0.5</v>
      </c>
      <c r="AZ63" s="2"/>
      <c r="BA63" s="2">
        <f t="shared" si="15"/>
        <v>166.5</v>
      </c>
      <c r="BB63" s="2">
        <f t="shared" si="16"/>
        <v>166.5</v>
      </c>
      <c r="BC63" s="2">
        <v>99</v>
      </c>
      <c r="BD63" s="2">
        <v>1</v>
      </c>
      <c r="BE63" s="2">
        <v>99</v>
      </c>
      <c r="BF63" s="4">
        <f t="shared" si="17"/>
        <v>0</v>
      </c>
      <c r="BG63" s="2">
        <v>99</v>
      </c>
      <c r="BH63" s="5">
        <f t="shared" si="18"/>
        <v>0</v>
      </c>
      <c r="BI63" s="2">
        <v>0</v>
      </c>
      <c r="BJ63" s="2">
        <v>4</v>
      </c>
      <c r="BK63" s="2">
        <v>0</v>
      </c>
      <c r="BL63" t="s">
        <v>83</v>
      </c>
      <c r="BM63" s="2">
        <f t="shared" si="19"/>
        <v>1</v>
      </c>
      <c r="BN63" s="2">
        <v>0</v>
      </c>
      <c r="BO63" s="2">
        <v>99997</v>
      </c>
      <c r="BP63" s="2">
        <v>1</v>
      </c>
      <c r="BQ63" s="2">
        <v>97</v>
      </c>
      <c r="BR63" s="2">
        <v>1</v>
      </c>
      <c r="BS63" s="2">
        <v>0</v>
      </c>
      <c r="BT63" s="2">
        <v>97</v>
      </c>
      <c r="BU63" s="2">
        <v>99</v>
      </c>
      <c r="BV63" s="2">
        <v>1</v>
      </c>
      <c r="BW63" s="2">
        <v>1</v>
      </c>
      <c r="BX63" s="2">
        <v>1</v>
      </c>
      <c r="BY63" s="2">
        <v>0</v>
      </c>
      <c r="BZ63" s="2">
        <v>0</v>
      </c>
      <c r="CA63" s="2">
        <v>0</v>
      </c>
      <c r="CB63" s="2">
        <v>0</v>
      </c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>
        <v>0</v>
      </c>
      <c r="CJ63" s="2">
        <v>0</v>
      </c>
      <c r="CK63" s="2">
        <v>97</v>
      </c>
      <c r="CL63" s="2">
        <v>97</v>
      </c>
      <c r="CM63" s="2">
        <v>4</v>
      </c>
      <c r="CN63" s="2">
        <v>6</v>
      </c>
      <c r="CO63" s="2">
        <v>6</v>
      </c>
    </row>
    <row r="64" spans="1:93">
      <c r="A64">
        <v>59</v>
      </c>
      <c r="B64" t="s">
        <v>81</v>
      </c>
      <c r="C64" s="2">
        <v>97</v>
      </c>
      <c r="D64" s="2" t="s">
        <v>168</v>
      </c>
      <c r="E64" t="s">
        <v>109</v>
      </c>
      <c r="F64" s="2">
        <v>0</v>
      </c>
      <c r="G64" s="2">
        <v>0</v>
      </c>
      <c r="H64" s="2">
        <v>7</v>
      </c>
      <c r="I64" s="2">
        <f t="shared" si="10"/>
        <v>6.6</v>
      </c>
      <c r="J64" s="2">
        <f t="shared" si="11"/>
        <v>0.3</v>
      </c>
      <c r="K64" s="4">
        <v>0.3</v>
      </c>
      <c r="L64" s="2">
        <v>6</v>
      </c>
      <c r="M64" s="2">
        <v>0</v>
      </c>
      <c r="N64" s="2">
        <v>3</v>
      </c>
      <c r="O64" s="2">
        <v>98</v>
      </c>
      <c r="P64" s="2">
        <v>98</v>
      </c>
      <c r="Q64" s="2">
        <v>98</v>
      </c>
      <c r="R64" s="2">
        <v>98</v>
      </c>
      <c r="S64" s="2">
        <v>98</v>
      </c>
      <c r="T64" s="2">
        <v>98</v>
      </c>
      <c r="U64" s="2">
        <v>98</v>
      </c>
      <c r="V64" s="2">
        <v>98</v>
      </c>
      <c r="W64" s="2">
        <v>98</v>
      </c>
      <c r="X64" s="2">
        <v>98</v>
      </c>
      <c r="Y64" s="2">
        <v>98</v>
      </c>
      <c r="Z64" s="2">
        <v>98</v>
      </c>
      <c r="AA64" s="2">
        <v>0</v>
      </c>
      <c r="AB64" s="2">
        <v>1</v>
      </c>
      <c r="AC64" s="2">
        <v>99</v>
      </c>
      <c r="AD64" s="2">
        <v>97</v>
      </c>
      <c r="AE64" s="2">
        <v>97</v>
      </c>
      <c r="AF64" s="2">
        <v>97</v>
      </c>
      <c r="AG64" s="2">
        <v>97</v>
      </c>
      <c r="AH64" s="2">
        <v>97</v>
      </c>
      <c r="AI64" s="2">
        <v>97</v>
      </c>
      <c r="AJ64" s="2">
        <v>97</v>
      </c>
      <c r="AK64" s="2">
        <v>97</v>
      </c>
      <c r="AL64" s="2">
        <v>97</v>
      </c>
      <c r="AM64" s="2">
        <v>97</v>
      </c>
      <c r="AN64" s="2">
        <v>97</v>
      </c>
      <c r="AO64" s="2">
        <v>97</v>
      </c>
      <c r="AP64" s="2">
        <v>1</v>
      </c>
      <c r="AQ64" s="2">
        <v>6</v>
      </c>
      <c r="AR64" s="2">
        <v>140</v>
      </c>
      <c r="AS64" s="2"/>
      <c r="AT64" s="2"/>
      <c r="AU64" s="2">
        <f t="shared" si="12"/>
        <v>140</v>
      </c>
      <c r="AV64" s="2">
        <f t="shared" si="13"/>
        <v>140</v>
      </c>
      <c r="AW64" s="1">
        <f t="shared" si="14"/>
        <v>25.454545454545453</v>
      </c>
      <c r="AX64" s="2">
        <v>70</v>
      </c>
      <c r="AY64" s="2"/>
      <c r="AZ64" s="2"/>
      <c r="BA64" s="2">
        <f t="shared" si="15"/>
        <v>70</v>
      </c>
      <c r="BB64" s="2">
        <f t="shared" si="16"/>
        <v>70</v>
      </c>
      <c r="BC64" s="2">
        <v>0</v>
      </c>
      <c r="BD64" s="2">
        <v>1</v>
      </c>
      <c r="BE64" s="2">
        <v>99</v>
      </c>
      <c r="BF64" s="4">
        <f t="shared" si="17"/>
        <v>0</v>
      </c>
      <c r="BG64" s="2">
        <v>99</v>
      </c>
      <c r="BH64" s="5">
        <f t="shared" si="18"/>
        <v>0</v>
      </c>
      <c r="BI64" s="2">
        <v>98</v>
      </c>
      <c r="BJ64" s="2">
        <v>2</v>
      </c>
      <c r="BK64" s="2">
        <v>0</v>
      </c>
      <c r="BL64" t="s">
        <v>83</v>
      </c>
      <c r="BM64" s="2">
        <f t="shared" si="19"/>
        <v>1</v>
      </c>
      <c r="BN64" s="2">
        <v>0</v>
      </c>
      <c r="BO64" s="2">
        <v>99997</v>
      </c>
      <c r="BP64" s="2">
        <v>1</v>
      </c>
      <c r="BQ64" s="2">
        <v>97</v>
      </c>
      <c r="BR64" s="2">
        <v>1</v>
      </c>
      <c r="BS64" s="2">
        <v>1</v>
      </c>
      <c r="BT64" s="2">
        <v>2</v>
      </c>
      <c r="BU64" s="2">
        <v>98</v>
      </c>
      <c r="BV64" s="2">
        <v>98</v>
      </c>
      <c r="BW64" s="2">
        <v>98</v>
      </c>
      <c r="BX64" s="2">
        <v>98</v>
      </c>
      <c r="BY64" s="2">
        <v>98</v>
      </c>
      <c r="BZ64" s="2">
        <v>98</v>
      </c>
      <c r="CA64" s="2">
        <v>98</v>
      </c>
      <c r="CB64" s="2">
        <v>98</v>
      </c>
      <c r="CC64" s="2">
        <v>98</v>
      </c>
      <c r="CD64" s="2">
        <v>98</v>
      </c>
      <c r="CE64" s="2">
        <v>98</v>
      </c>
      <c r="CF64" s="2">
        <v>98</v>
      </c>
      <c r="CG64" s="2">
        <v>98</v>
      </c>
      <c r="CH64" s="2">
        <v>98</v>
      </c>
      <c r="CI64" s="2">
        <v>98</v>
      </c>
      <c r="CJ64" s="2">
        <v>98</v>
      </c>
      <c r="CK64" s="2">
        <v>98</v>
      </c>
      <c r="CL64" s="2">
        <v>98</v>
      </c>
      <c r="CM64" s="2">
        <v>98</v>
      </c>
      <c r="CN64" s="2">
        <v>98</v>
      </c>
      <c r="CO64" s="2">
        <v>98</v>
      </c>
    </row>
    <row r="65" spans="1:93">
      <c r="A65">
        <v>57</v>
      </c>
      <c r="B65" t="s">
        <v>87</v>
      </c>
      <c r="C65" s="2">
        <v>7</v>
      </c>
      <c r="D65" s="2" t="s">
        <v>175</v>
      </c>
      <c r="E65">
        <v>97</v>
      </c>
      <c r="F65" s="2">
        <v>1</v>
      </c>
      <c r="G65" s="2">
        <v>1</v>
      </c>
      <c r="H65" s="2">
        <v>6</v>
      </c>
      <c r="I65" s="2">
        <f t="shared" si="10"/>
        <v>16.5</v>
      </c>
      <c r="J65" s="2">
        <f t="shared" si="11"/>
        <v>0.75</v>
      </c>
      <c r="K65" s="4">
        <v>0.75</v>
      </c>
      <c r="L65" s="2">
        <v>7</v>
      </c>
      <c r="M65" s="2">
        <v>0</v>
      </c>
      <c r="N65" s="2">
        <v>3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1</v>
      </c>
      <c r="AB65" s="2">
        <v>1</v>
      </c>
      <c r="AC65" s="2">
        <v>7</v>
      </c>
      <c r="AD65" s="2">
        <v>97</v>
      </c>
      <c r="AE65" s="2">
        <v>97</v>
      </c>
      <c r="AF65" s="2">
        <v>97</v>
      </c>
      <c r="AG65" s="2">
        <v>97</v>
      </c>
      <c r="AH65" s="2">
        <v>97</v>
      </c>
      <c r="AI65" s="2">
        <v>97</v>
      </c>
      <c r="AJ65" s="2">
        <v>97</v>
      </c>
      <c r="AK65" s="2">
        <v>97</v>
      </c>
      <c r="AL65" s="2">
        <v>97</v>
      </c>
      <c r="AM65" s="2">
        <v>97</v>
      </c>
      <c r="AN65" s="2">
        <v>97</v>
      </c>
      <c r="AO65" s="2">
        <v>97</v>
      </c>
      <c r="AP65" s="2">
        <v>1</v>
      </c>
      <c r="AQ65" s="2">
        <v>1</v>
      </c>
      <c r="AR65" s="2"/>
      <c r="AS65" s="2"/>
      <c r="AT65" s="2">
        <v>2</v>
      </c>
      <c r="AU65" s="2">
        <f t="shared" si="12"/>
        <v>666</v>
      </c>
      <c r="AV65" s="2">
        <f t="shared" si="13"/>
        <v>666</v>
      </c>
      <c r="AW65" s="1">
        <f t="shared" si="14"/>
        <v>121.09090909090909</v>
      </c>
      <c r="AX65" s="2"/>
      <c r="AY65" s="2"/>
      <c r="AZ65" s="2">
        <v>1</v>
      </c>
      <c r="BA65" s="2">
        <f t="shared" si="15"/>
        <v>333</v>
      </c>
      <c r="BB65" s="2">
        <f t="shared" si="16"/>
        <v>333</v>
      </c>
      <c r="BC65" s="2">
        <v>0</v>
      </c>
      <c r="BD65" s="2">
        <v>1</v>
      </c>
      <c r="BE65" s="2">
        <v>4</v>
      </c>
      <c r="BF65" s="4">
        <f t="shared" si="17"/>
        <v>4</v>
      </c>
      <c r="BG65" s="2">
        <v>1</v>
      </c>
      <c r="BH65" s="5">
        <f t="shared" si="18"/>
        <v>0.75</v>
      </c>
      <c r="BI65" s="2">
        <v>0</v>
      </c>
      <c r="BJ65" s="2">
        <v>4</v>
      </c>
      <c r="BK65" s="2">
        <v>0</v>
      </c>
      <c r="BL65" t="s">
        <v>83</v>
      </c>
      <c r="BM65" s="2">
        <f t="shared" si="19"/>
        <v>1</v>
      </c>
      <c r="BN65" s="2">
        <v>0</v>
      </c>
      <c r="BO65" s="2">
        <v>99997</v>
      </c>
      <c r="BP65" s="2">
        <v>1</v>
      </c>
      <c r="BQ65" s="2">
        <v>97</v>
      </c>
      <c r="BR65" s="2">
        <v>1</v>
      </c>
      <c r="BS65" s="2">
        <v>0</v>
      </c>
      <c r="BT65" s="2">
        <v>97</v>
      </c>
      <c r="BU65" s="2">
        <v>0</v>
      </c>
      <c r="BV65" s="2">
        <v>1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>
        <v>0</v>
      </c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>
        <v>0</v>
      </c>
      <c r="CJ65" s="2">
        <v>0</v>
      </c>
      <c r="CK65" s="2">
        <v>97</v>
      </c>
      <c r="CL65" s="2">
        <v>97</v>
      </c>
      <c r="CM65" s="2">
        <v>98</v>
      </c>
      <c r="CN65" s="2">
        <v>7</v>
      </c>
      <c r="CO65" s="2">
        <v>99</v>
      </c>
    </row>
    <row r="66" spans="1:93">
      <c r="A66">
        <v>56</v>
      </c>
      <c r="B66" t="s">
        <v>87</v>
      </c>
      <c r="C66" s="2">
        <v>2</v>
      </c>
      <c r="D66" s="2" t="s">
        <v>177</v>
      </c>
      <c r="E66">
        <v>97</v>
      </c>
      <c r="F66" s="2">
        <v>1</v>
      </c>
      <c r="G66" s="2">
        <v>1</v>
      </c>
      <c r="H66" s="2">
        <v>4</v>
      </c>
      <c r="I66" s="2">
        <f t="shared" ref="I66:I97" si="20">IF(H66=3,(4.5*22),IF(H66=4,(2.5*22),IF(H66=5,(1*22),IF(H66=6,(0.75*22),IF(H66=7,(0.3*22),IF(H66=8,(0.091*22),IF(H66=9,(0.03*22))))))))</f>
        <v>55</v>
      </c>
      <c r="J66" s="2">
        <f t="shared" ref="J66:J97" si="21">I66/22</f>
        <v>2.5</v>
      </c>
      <c r="K66" s="4">
        <v>1</v>
      </c>
      <c r="L66" s="2">
        <v>7</v>
      </c>
      <c r="M66" s="2">
        <v>1</v>
      </c>
      <c r="N66" s="2">
        <v>3</v>
      </c>
      <c r="O66" s="2">
        <v>0</v>
      </c>
      <c r="P66" s="2">
        <v>0</v>
      </c>
      <c r="Q66" s="2">
        <v>0</v>
      </c>
      <c r="R66" s="2">
        <v>1</v>
      </c>
      <c r="S66" s="2">
        <v>1</v>
      </c>
      <c r="T66" s="2">
        <v>0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1</v>
      </c>
      <c r="AB66" s="2">
        <v>1</v>
      </c>
      <c r="AC66" s="2">
        <v>6</v>
      </c>
      <c r="AD66" s="2">
        <v>97</v>
      </c>
      <c r="AE66" s="2">
        <v>97</v>
      </c>
      <c r="AF66" s="2">
        <v>97</v>
      </c>
      <c r="AG66" s="2">
        <v>97</v>
      </c>
      <c r="AH66" s="2">
        <v>97</v>
      </c>
      <c r="AI66" s="2">
        <v>97</v>
      </c>
      <c r="AJ66" s="2">
        <v>97</v>
      </c>
      <c r="AK66" s="2">
        <v>97</v>
      </c>
      <c r="AL66" s="2">
        <v>97</v>
      </c>
      <c r="AM66" s="2">
        <v>97</v>
      </c>
      <c r="AN66" s="2">
        <v>97</v>
      </c>
      <c r="AO66" s="2">
        <v>97</v>
      </c>
      <c r="AP66" s="2">
        <v>3</v>
      </c>
      <c r="AQ66" s="2">
        <v>4</v>
      </c>
      <c r="AR66" s="2">
        <v>1200</v>
      </c>
      <c r="AS66" s="2"/>
      <c r="AT66" s="2"/>
      <c r="AU66" s="2">
        <f t="shared" ref="AU66:AU97" si="22">AR66+(AS66*333)+(AT66*333)</f>
        <v>1200</v>
      </c>
      <c r="AV66" s="2">
        <f t="shared" ref="AV66:AV97" si="23">IF(AU66=99999,0,IF(AU66=99998,0,AU66))</f>
        <v>1200</v>
      </c>
      <c r="AW66" s="1">
        <f t="shared" ref="AW66:AW75" si="24">AV66/5.5</f>
        <v>218.18181818181819</v>
      </c>
      <c r="AX66" s="2">
        <v>400</v>
      </c>
      <c r="AY66" s="2"/>
      <c r="AZ66" s="2"/>
      <c r="BA66" s="2">
        <f t="shared" ref="BA66:BA97" si="25">AX66+(AY66*333)+(AZ66*333)</f>
        <v>400</v>
      </c>
      <c r="BB66" s="2">
        <f t="shared" ref="BB66:BB97" si="26">IF(BA66=99999,0,IF(BA66=99998,0,IF(BA66=99997,0,BA66)))</f>
        <v>400</v>
      </c>
      <c r="BC66" s="2">
        <v>0</v>
      </c>
      <c r="BD66" s="2">
        <v>1</v>
      </c>
      <c r="BE66" s="2">
        <v>12</v>
      </c>
      <c r="BF66" s="4">
        <f t="shared" ref="BF66:BF97" si="27">IF(BE66=99,0,IF(BE66=98,0,IF(BE66=97,0,BE66)))</f>
        <v>12</v>
      </c>
      <c r="BG66" s="2">
        <v>3</v>
      </c>
      <c r="BH66" s="5">
        <f t="shared" ref="BH66:BH97" si="28">IF(BG66&lt;97,(BG66*J66),0)</f>
        <v>7.5</v>
      </c>
      <c r="BI66" s="2">
        <v>1</v>
      </c>
      <c r="BJ66" s="2">
        <v>3</v>
      </c>
      <c r="BK66" s="2">
        <v>0</v>
      </c>
      <c r="BL66" t="s">
        <v>83</v>
      </c>
      <c r="BM66" s="2">
        <f t="shared" ref="BM66:BM97" si="29">IF(BL66="Dør",1,0)</f>
        <v>1</v>
      </c>
      <c r="BN66" s="2">
        <v>1</v>
      </c>
      <c r="BO66" s="2">
        <v>50</v>
      </c>
      <c r="BP66" s="2">
        <v>2</v>
      </c>
      <c r="BQ66" s="2">
        <v>97</v>
      </c>
      <c r="BR66" s="2">
        <v>1</v>
      </c>
      <c r="BS66" s="2">
        <v>0</v>
      </c>
      <c r="BT66" s="2">
        <v>97</v>
      </c>
      <c r="BU66" s="2">
        <v>1</v>
      </c>
      <c r="BV66" s="2">
        <v>1</v>
      </c>
      <c r="BW66" s="2">
        <v>1</v>
      </c>
      <c r="BX66" s="2">
        <v>1</v>
      </c>
      <c r="BY66" s="2">
        <v>0</v>
      </c>
      <c r="BZ66" s="2">
        <v>0</v>
      </c>
      <c r="CA66" s="2">
        <v>1</v>
      </c>
      <c r="CB66" s="2">
        <v>0</v>
      </c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>
        <v>0</v>
      </c>
      <c r="CJ66" s="2">
        <v>0</v>
      </c>
      <c r="CK66" s="2">
        <v>97</v>
      </c>
      <c r="CL66" s="2">
        <v>97</v>
      </c>
      <c r="CM66" s="2">
        <v>6</v>
      </c>
      <c r="CN66" s="2">
        <v>7</v>
      </c>
      <c r="CO66" s="2">
        <v>2</v>
      </c>
    </row>
    <row r="67" spans="1:93">
      <c r="A67">
        <v>55</v>
      </c>
      <c r="B67" t="s">
        <v>91</v>
      </c>
      <c r="C67" s="2">
        <v>13</v>
      </c>
      <c r="D67" s="2" t="s">
        <v>166</v>
      </c>
      <c r="E67">
        <v>97</v>
      </c>
      <c r="F67" s="2">
        <v>1</v>
      </c>
      <c r="G67" s="2">
        <v>1</v>
      </c>
      <c r="H67" s="2">
        <v>7</v>
      </c>
      <c r="I67" s="2">
        <f t="shared" si="20"/>
        <v>6.6</v>
      </c>
      <c r="J67" s="2">
        <f t="shared" si="21"/>
        <v>0.3</v>
      </c>
      <c r="K67" s="4">
        <v>0.3</v>
      </c>
      <c r="L67" s="2">
        <v>7</v>
      </c>
      <c r="M67" s="2">
        <v>0</v>
      </c>
      <c r="N67" s="2">
        <v>3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98</v>
      </c>
      <c r="AB67" s="2">
        <v>1</v>
      </c>
      <c r="AC67" s="2">
        <v>7</v>
      </c>
      <c r="AD67" s="2">
        <v>97</v>
      </c>
      <c r="AE67" s="2">
        <v>97</v>
      </c>
      <c r="AF67" s="2">
        <v>97</v>
      </c>
      <c r="AG67" s="2">
        <v>97</v>
      </c>
      <c r="AH67" s="2">
        <v>97</v>
      </c>
      <c r="AI67" s="2">
        <v>97</v>
      </c>
      <c r="AJ67" s="2">
        <v>97</v>
      </c>
      <c r="AK67" s="2">
        <v>97</v>
      </c>
      <c r="AL67" s="2">
        <v>97</v>
      </c>
      <c r="AM67" s="2">
        <v>97</v>
      </c>
      <c r="AN67" s="2">
        <v>97</v>
      </c>
      <c r="AO67" s="2">
        <v>97</v>
      </c>
      <c r="AP67" s="2">
        <v>3</v>
      </c>
      <c r="AQ67" s="2">
        <v>7</v>
      </c>
      <c r="AR67" s="2"/>
      <c r="AS67" s="2">
        <v>1</v>
      </c>
      <c r="AT67" s="2"/>
      <c r="AU67" s="2">
        <f t="shared" si="22"/>
        <v>333</v>
      </c>
      <c r="AV67" s="2">
        <f t="shared" si="23"/>
        <v>333</v>
      </c>
      <c r="AW67" s="1">
        <f t="shared" si="24"/>
        <v>60.545454545454547</v>
      </c>
      <c r="AX67" s="2"/>
      <c r="AY67" s="2">
        <v>1</v>
      </c>
      <c r="AZ67" s="2"/>
      <c r="BA67" s="2">
        <f t="shared" si="25"/>
        <v>333</v>
      </c>
      <c r="BB67" s="2">
        <f t="shared" si="26"/>
        <v>333</v>
      </c>
      <c r="BC67" s="2">
        <v>0</v>
      </c>
      <c r="BD67" s="2">
        <v>1</v>
      </c>
      <c r="BE67" s="2">
        <v>1</v>
      </c>
      <c r="BF67" s="4">
        <f t="shared" si="27"/>
        <v>1</v>
      </c>
      <c r="BG67" s="2">
        <v>1</v>
      </c>
      <c r="BH67" s="5">
        <f t="shared" si="28"/>
        <v>0.3</v>
      </c>
      <c r="BI67" s="2">
        <v>1</v>
      </c>
      <c r="BJ67" s="2">
        <v>4</v>
      </c>
      <c r="BK67" s="2">
        <v>1</v>
      </c>
      <c r="BL67" s="3">
        <v>97</v>
      </c>
      <c r="BM67" s="2">
        <f t="shared" si="29"/>
        <v>0</v>
      </c>
      <c r="BN67" s="2">
        <v>0</v>
      </c>
      <c r="BO67" s="2">
        <v>99997</v>
      </c>
      <c r="BP67" s="2">
        <v>3</v>
      </c>
      <c r="BQ67" s="2">
        <v>97</v>
      </c>
      <c r="BR67" s="2">
        <v>1</v>
      </c>
      <c r="BS67" s="2">
        <v>0</v>
      </c>
      <c r="BT67" s="2">
        <v>97</v>
      </c>
      <c r="BU67" s="2">
        <v>1</v>
      </c>
      <c r="BV67" s="2">
        <v>1</v>
      </c>
      <c r="BW67" s="2">
        <v>1</v>
      </c>
      <c r="BX67" s="2">
        <v>1</v>
      </c>
      <c r="BY67" s="2">
        <v>1</v>
      </c>
      <c r="BZ67" s="2">
        <v>0</v>
      </c>
      <c r="CA67" s="2">
        <v>0</v>
      </c>
      <c r="CB67" s="2">
        <v>0</v>
      </c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>
        <v>0</v>
      </c>
      <c r="CJ67" s="2">
        <v>0</v>
      </c>
      <c r="CK67" s="2">
        <v>97</v>
      </c>
      <c r="CL67" s="2">
        <v>97</v>
      </c>
      <c r="CM67" s="2">
        <v>6</v>
      </c>
      <c r="CN67" s="2">
        <v>7</v>
      </c>
      <c r="CO67" s="2">
        <v>1</v>
      </c>
    </row>
    <row r="68" spans="1:93">
      <c r="A68">
        <v>54</v>
      </c>
      <c r="B68" t="s">
        <v>91</v>
      </c>
      <c r="C68" s="2">
        <v>13</v>
      </c>
      <c r="D68" s="2" t="s">
        <v>166</v>
      </c>
      <c r="E68">
        <v>97</v>
      </c>
      <c r="F68" s="2">
        <v>1</v>
      </c>
      <c r="G68" s="2">
        <v>1</v>
      </c>
      <c r="H68" s="2">
        <v>7</v>
      </c>
      <c r="I68" s="2">
        <f t="shared" si="20"/>
        <v>6.6</v>
      </c>
      <c r="J68" s="2">
        <f t="shared" si="21"/>
        <v>0.3</v>
      </c>
      <c r="K68" s="4">
        <v>0.3</v>
      </c>
      <c r="L68" s="2">
        <v>7</v>
      </c>
      <c r="M68" s="2">
        <v>0</v>
      </c>
      <c r="N68" s="2">
        <v>3</v>
      </c>
      <c r="O68" s="2">
        <v>0</v>
      </c>
      <c r="P68" s="2">
        <v>0</v>
      </c>
      <c r="Q68" s="2">
        <v>0</v>
      </c>
      <c r="R68" s="2">
        <v>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98</v>
      </c>
      <c r="AB68" s="2">
        <v>1</v>
      </c>
      <c r="AC68" s="2">
        <v>7</v>
      </c>
      <c r="AD68" s="2">
        <v>97</v>
      </c>
      <c r="AE68" s="2">
        <v>97</v>
      </c>
      <c r="AF68" s="2">
        <v>97</v>
      </c>
      <c r="AG68" s="2">
        <v>97</v>
      </c>
      <c r="AH68" s="2">
        <v>97</v>
      </c>
      <c r="AI68" s="2">
        <v>97</v>
      </c>
      <c r="AJ68" s="2">
        <v>97</v>
      </c>
      <c r="AK68" s="2">
        <v>97</v>
      </c>
      <c r="AL68" s="2">
        <v>97</v>
      </c>
      <c r="AM68" s="2">
        <v>97</v>
      </c>
      <c r="AN68" s="2">
        <v>97</v>
      </c>
      <c r="AO68" s="2">
        <v>97</v>
      </c>
      <c r="AP68" s="2">
        <v>3</v>
      </c>
      <c r="AQ68" s="2">
        <v>7</v>
      </c>
      <c r="AR68" s="2"/>
      <c r="AS68" s="2">
        <v>1</v>
      </c>
      <c r="AT68" s="2"/>
      <c r="AU68" s="2">
        <f t="shared" si="22"/>
        <v>333</v>
      </c>
      <c r="AV68" s="2">
        <f t="shared" si="23"/>
        <v>333</v>
      </c>
      <c r="AW68" s="1">
        <f t="shared" si="24"/>
        <v>60.545454545454547</v>
      </c>
      <c r="AX68" s="2"/>
      <c r="AY68" s="2">
        <v>1</v>
      </c>
      <c r="AZ68" s="2"/>
      <c r="BA68" s="2">
        <f t="shared" si="25"/>
        <v>333</v>
      </c>
      <c r="BB68" s="2">
        <f t="shared" si="26"/>
        <v>333</v>
      </c>
      <c r="BC68" s="2">
        <v>0</v>
      </c>
      <c r="BD68" s="2">
        <v>1</v>
      </c>
      <c r="BE68" s="2">
        <v>1</v>
      </c>
      <c r="BF68" s="4">
        <f t="shared" si="27"/>
        <v>1</v>
      </c>
      <c r="BG68" s="2">
        <v>1</v>
      </c>
      <c r="BH68" s="5">
        <f t="shared" si="28"/>
        <v>0.3</v>
      </c>
      <c r="BI68" s="2">
        <v>1</v>
      </c>
      <c r="BJ68" s="2">
        <v>4</v>
      </c>
      <c r="BK68" s="2">
        <v>1</v>
      </c>
      <c r="BL68" s="3">
        <v>97</v>
      </c>
      <c r="BM68" s="2">
        <f t="shared" si="29"/>
        <v>0</v>
      </c>
      <c r="BN68" s="2">
        <v>0</v>
      </c>
      <c r="BO68" s="2">
        <v>99997</v>
      </c>
      <c r="BP68" s="2">
        <v>3</v>
      </c>
      <c r="BQ68" s="2">
        <v>97</v>
      </c>
      <c r="BR68" s="2">
        <v>1</v>
      </c>
      <c r="BS68" s="2">
        <v>0</v>
      </c>
      <c r="BT68" s="2">
        <v>97</v>
      </c>
      <c r="BU68" s="2">
        <v>1</v>
      </c>
      <c r="BV68" s="2">
        <v>1</v>
      </c>
      <c r="BW68" s="2">
        <v>1</v>
      </c>
      <c r="BX68" s="2">
        <v>1</v>
      </c>
      <c r="BY68" s="2">
        <v>1</v>
      </c>
      <c r="BZ68" s="2">
        <v>0</v>
      </c>
      <c r="CA68" s="2">
        <v>0</v>
      </c>
      <c r="CB68" s="2">
        <v>0</v>
      </c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>
        <v>0</v>
      </c>
      <c r="CJ68" s="2">
        <v>0</v>
      </c>
      <c r="CK68" s="2">
        <v>97</v>
      </c>
      <c r="CL68" s="2">
        <v>97</v>
      </c>
      <c r="CM68" s="2">
        <v>6</v>
      </c>
      <c r="CN68" s="2">
        <v>7</v>
      </c>
      <c r="CO68" s="2">
        <v>1</v>
      </c>
    </row>
    <row r="69" spans="1:93">
      <c r="A69">
        <v>53</v>
      </c>
      <c r="B69" t="s">
        <v>91</v>
      </c>
      <c r="C69" s="2">
        <v>13</v>
      </c>
      <c r="D69" s="2" t="s">
        <v>166</v>
      </c>
      <c r="E69">
        <v>97</v>
      </c>
      <c r="F69" s="2">
        <v>1</v>
      </c>
      <c r="G69" s="2">
        <v>1</v>
      </c>
      <c r="H69" s="2">
        <v>7</v>
      </c>
      <c r="I69" s="2">
        <f t="shared" si="20"/>
        <v>6.6</v>
      </c>
      <c r="J69" s="2">
        <f t="shared" si="21"/>
        <v>0.3</v>
      </c>
      <c r="K69" s="4">
        <v>0.3</v>
      </c>
      <c r="L69" s="2">
        <v>7</v>
      </c>
      <c r="M69" s="2">
        <v>0</v>
      </c>
      <c r="N69" s="2">
        <v>3</v>
      </c>
      <c r="O69" s="2">
        <v>0</v>
      </c>
      <c r="P69" s="2">
        <v>0</v>
      </c>
      <c r="Q69" s="2">
        <v>0</v>
      </c>
      <c r="R69" s="2">
        <v>0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98</v>
      </c>
      <c r="AB69" s="2">
        <v>1</v>
      </c>
      <c r="AC69" s="2">
        <v>7</v>
      </c>
      <c r="AD69" s="2">
        <v>97</v>
      </c>
      <c r="AE69" s="2">
        <v>97</v>
      </c>
      <c r="AF69" s="2">
        <v>97</v>
      </c>
      <c r="AG69" s="2">
        <v>97</v>
      </c>
      <c r="AH69" s="2">
        <v>97</v>
      </c>
      <c r="AI69" s="2">
        <v>97</v>
      </c>
      <c r="AJ69" s="2">
        <v>97</v>
      </c>
      <c r="AK69" s="2">
        <v>97</v>
      </c>
      <c r="AL69" s="2">
        <v>97</v>
      </c>
      <c r="AM69" s="2">
        <v>97</v>
      </c>
      <c r="AN69" s="2">
        <v>97</v>
      </c>
      <c r="AO69" s="2">
        <v>97</v>
      </c>
      <c r="AP69" s="2">
        <v>3</v>
      </c>
      <c r="AQ69" s="2">
        <v>7</v>
      </c>
      <c r="AR69" s="2"/>
      <c r="AS69" s="2">
        <v>1</v>
      </c>
      <c r="AT69" s="2"/>
      <c r="AU69" s="2">
        <f t="shared" si="22"/>
        <v>333</v>
      </c>
      <c r="AV69" s="2">
        <f t="shared" si="23"/>
        <v>333</v>
      </c>
      <c r="AW69" s="1">
        <f t="shared" si="24"/>
        <v>60.545454545454547</v>
      </c>
      <c r="AX69" s="2"/>
      <c r="AY69" s="2">
        <v>1</v>
      </c>
      <c r="AZ69" s="2"/>
      <c r="BA69" s="2">
        <f t="shared" si="25"/>
        <v>333</v>
      </c>
      <c r="BB69" s="2">
        <f t="shared" si="26"/>
        <v>333</v>
      </c>
      <c r="BC69" s="2">
        <v>0</v>
      </c>
      <c r="BD69" s="2">
        <v>1</v>
      </c>
      <c r="BE69" s="2">
        <v>1</v>
      </c>
      <c r="BF69" s="4">
        <f t="shared" si="27"/>
        <v>1</v>
      </c>
      <c r="BG69" s="2">
        <v>1</v>
      </c>
      <c r="BH69" s="5">
        <f t="shared" si="28"/>
        <v>0.3</v>
      </c>
      <c r="BI69" s="2">
        <v>1</v>
      </c>
      <c r="BJ69" s="2">
        <v>4</v>
      </c>
      <c r="BK69" s="2">
        <v>1</v>
      </c>
      <c r="BL69" s="3">
        <v>97</v>
      </c>
      <c r="BM69" s="2">
        <f t="shared" si="29"/>
        <v>0</v>
      </c>
      <c r="BN69" s="2">
        <v>0</v>
      </c>
      <c r="BO69" s="2">
        <v>99997</v>
      </c>
      <c r="BP69" s="2">
        <v>3</v>
      </c>
      <c r="BQ69" s="2">
        <v>97</v>
      </c>
      <c r="BR69" s="2">
        <v>1</v>
      </c>
      <c r="BS69" s="2">
        <v>0</v>
      </c>
      <c r="BT69" s="2">
        <v>97</v>
      </c>
      <c r="BU69" s="2">
        <v>1</v>
      </c>
      <c r="BV69" s="2">
        <v>1</v>
      </c>
      <c r="BW69" s="2">
        <v>1</v>
      </c>
      <c r="BX69" s="2">
        <v>1</v>
      </c>
      <c r="BY69" s="2">
        <v>1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>
        <v>0</v>
      </c>
      <c r="CJ69" s="2">
        <v>0</v>
      </c>
      <c r="CK69" s="2">
        <v>97</v>
      </c>
      <c r="CL69" s="2">
        <v>97</v>
      </c>
      <c r="CM69" s="2">
        <v>6</v>
      </c>
      <c r="CN69" s="2">
        <v>7</v>
      </c>
      <c r="CO69" s="2">
        <v>1</v>
      </c>
    </row>
    <row r="70" spans="1:93">
      <c r="A70">
        <v>52</v>
      </c>
      <c r="B70" t="s">
        <v>91</v>
      </c>
      <c r="C70" s="2">
        <v>7</v>
      </c>
      <c r="D70" s="2" t="s">
        <v>175</v>
      </c>
      <c r="E70">
        <v>97</v>
      </c>
      <c r="F70" s="2">
        <v>1</v>
      </c>
      <c r="G70" s="2">
        <v>1</v>
      </c>
      <c r="H70" s="2">
        <v>8</v>
      </c>
      <c r="I70" s="2">
        <f t="shared" si="20"/>
        <v>2.0019999999999998</v>
      </c>
      <c r="J70" s="2">
        <f t="shared" si="21"/>
        <v>9.0999999999999984E-2</v>
      </c>
      <c r="K70" s="4">
        <v>9.0999999999999998E-2</v>
      </c>
      <c r="L70" s="2">
        <v>7</v>
      </c>
      <c r="M70" s="2">
        <v>0</v>
      </c>
      <c r="N70" s="2">
        <v>3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1</v>
      </c>
      <c r="AB70" s="2">
        <v>1</v>
      </c>
      <c r="AC70" s="2">
        <v>7</v>
      </c>
      <c r="AD70" s="2">
        <v>97</v>
      </c>
      <c r="AE70" s="2">
        <v>97</v>
      </c>
      <c r="AF70" s="2">
        <v>97</v>
      </c>
      <c r="AG70" s="2">
        <v>97</v>
      </c>
      <c r="AH70" s="2">
        <v>97</v>
      </c>
      <c r="AI70" s="2">
        <v>97</v>
      </c>
      <c r="AJ70" s="2">
        <v>97</v>
      </c>
      <c r="AK70" s="2">
        <v>97</v>
      </c>
      <c r="AL70" s="2">
        <v>97</v>
      </c>
      <c r="AM70" s="2">
        <v>97</v>
      </c>
      <c r="AN70" s="2">
        <v>97</v>
      </c>
      <c r="AO70" s="2">
        <v>97</v>
      </c>
      <c r="AP70" s="2">
        <v>3</v>
      </c>
      <c r="AQ70" s="2">
        <v>7</v>
      </c>
      <c r="AR70" s="2"/>
      <c r="AS70" s="2"/>
      <c r="AT70" s="2">
        <v>1</v>
      </c>
      <c r="AU70" s="2">
        <f t="shared" si="22"/>
        <v>333</v>
      </c>
      <c r="AV70" s="2">
        <f t="shared" si="23"/>
        <v>333</v>
      </c>
      <c r="AW70" s="1">
        <f t="shared" si="24"/>
        <v>60.545454545454547</v>
      </c>
      <c r="AX70" s="2"/>
      <c r="AY70" s="2"/>
      <c r="AZ70" s="2">
        <v>1</v>
      </c>
      <c r="BA70" s="2">
        <f t="shared" si="25"/>
        <v>333</v>
      </c>
      <c r="BB70" s="2">
        <f t="shared" si="26"/>
        <v>333</v>
      </c>
      <c r="BC70" s="2">
        <v>0</v>
      </c>
      <c r="BD70" s="2">
        <v>1</v>
      </c>
      <c r="BE70" s="2">
        <v>1</v>
      </c>
      <c r="BF70" s="4">
        <f t="shared" si="27"/>
        <v>1</v>
      </c>
      <c r="BG70" s="2">
        <v>1</v>
      </c>
      <c r="BH70" s="5">
        <f t="shared" si="28"/>
        <v>9.0999999999999984E-2</v>
      </c>
      <c r="BI70" s="2">
        <v>0</v>
      </c>
      <c r="BJ70" s="2">
        <v>4</v>
      </c>
      <c r="BK70" s="2">
        <v>0</v>
      </c>
      <c r="BL70" t="s">
        <v>83</v>
      </c>
      <c r="BM70" s="2">
        <f t="shared" si="29"/>
        <v>1</v>
      </c>
      <c r="BN70" s="2">
        <v>0</v>
      </c>
      <c r="BO70" s="2">
        <v>99997</v>
      </c>
      <c r="BP70" s="2">
        <v>3</v>
      </c>
      <c r="BQ70" s="2">
        <v>97</v>
      </c>
      <c r="BR70" s="2">
        <v>1</v>
      </c>
      <c r="BS70" s="2">
        <v>0</v>
      </c>
      <c r="BT70" s="2">
        <v>97</v>
      </c>
      <c r="BU70" s="2">
        <v>1</v>
      </c>
      <c r="BV70" s="2">
        <v>0</v>
      </c>
      <c r="BW70" s="2">
        <v>1</v>
      </c>
      <c r="BX70" s="2">
        <v>0</v>
      </c>
      <c r="BY70" s="2">
        <v>1</v>
      </c>
      <c r="BZ70" s="2">
        <v>0</v>
      </c>
      <c r="CA70" s="2">
        <v>0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97</v>
      </c>
      <c r="CL70" s="2">
        <v>97</v>
      </c>
      <c r="CM70" s="2">
        <v>1</v>
      </c>
      <c r="CN70" s="2">
        <v>7</v>
      </c>
      <c r="CO70" s="2">
        <v>1</v>
      </c>
    </row>
    <row r="71" spans="1:93">
      <c r="A71">
        <v>50</v>
      </c>
      <c r="B71" t="s">
        <v>81</v>
      </c>
      <c r="C71" s="2">
        <v>7</v>
      </c>
      <c r="D71" s="2" t="s">
        <v>175</v>
      </c>
      <c r="E71" t="s">
        <v>100</v>
      </c>
      <c r="F71" s="2">
        <v>1</v>
      </c>
      <c r="G71" s="2">
        <v>0</v>
      </c>
      <c r="H71" s="2">
        <v>8</v>
      </c>
      <c r="I71" s="2">
        <f t="shared" si="20"/>
        <v>2.0019999999999998</v>
      </c>
      <c r="J71" s="2">
        <f t="shared" si="21"/>
        <v>9.0999999999999984E-2</v>
      </c>
      <c r="K71" s="4">
        <v>9.0999999999999998E-2</v>
      </c>
      <c r="L71" s="2">
        <v>7</v>
      </c>
      <c r="M71" s="2">
        <v>1</v>
      </c>
      <c r="N71" s="2">
        <v>3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1</v>
      </c>
      <c r="AB71" s="2">
        <v>1</v>
      </c>
      <c r="AC71" s="2">
        <v>7</v>
      </c>
      <c r="AD71" s="2">
        <v>97</v>
      </c>
      <c r="AE71" s="2">
        <v>97</v>
      </c>
      <c r="AF71" s="2">
        <v>97</v>
      </c>
      <c r="AG71" s="2">
        <v>97</v>
      </c>
      <c r="AH71" s="2">
        <v>97</v>
      </c>
      <c r="AI71" s="2">
        <v>97</v>
      </c>
      <c r="AJ71" s="2">
        <v>97</v>
      </c>
      <c r="AK71" s="2">
        <v>97</v>
      </c>
      <c r="AL71" s="2">
        <v>97</v>
      </c>
      <c r="AM71" s="2">
        <v>97</v>
      </c>
      <c r="AN71" s="2">
        <v>97</v>
      </c>
      <c r="AO71" s="2">
        <v>97</v>
      </c>
      <c r="AP71" s="2">
        <v>2</v>
      </c>
      <c r="AQ71" s="2">
        <v>1</v>
      </c>
      <c r="AR71" s="2">
        <v>30</v>
      </c>
      <c r="AS71" s="2"/>
      <c r="AT71" s="2"/>
      <c r="AU71" s="2">
        <f t="shared" si="22"/>
        <v>30</v>
      </c>
      <c r="AV71" s="2">
        <f t="shared" si="23"/>
        <v>30</v>
      </c>
      <c r="AW71" s="1">
        <f t="shared" si="24"/>
        <v>5.4545454545454541</v>
      </c>
      <c r="AX71" s="2">
        <v>30</v>
      </c>
      <c r="AY71" s="2"/>
      <c r="AZ71" s="2"/>
      <c r="BA71" s="2">
        <f t="shared" si="25"/>
        <v>30</v>
      </c>
      <c r="BB71" s="2">
        <f t="shared" si="26"/>
        <v>30</v>
      </c>
      <c r="BC71" s="2">
        <v>0</v>
      </c>
      <c r="BD71" s="2">
        <v>98</v>
      </c>
      <c r="BE71" s="2">
        <v>1</v>
      </c>
      <c r="BF71" s="4">
        <f t="shared" si="27"/>
        <v>1</v>
      </c>
      <c r="BG71" s="2">
        <v>1</v>
      </c>
      <c r="BH71" s="5">
        <f t="shared" si="28"/>
        <v>9.0999999999999984E-2</v>
      </c>
      <c r="BI71" s="2">
        <v>0</v>
      </c>
      <c r="BJ71" s="2">
        <v>2</v>
      </c>
      <c r="BK71" s="2">
        <v>0</v>
      </c>
      <c r="BL71" t="s">
        <v>83</v>
      </c>
      <c r="BM71" s="2">
        <f t="shared" si="29"/>
        <v>1</v>
      </c>
      <c r="BN71" s="2">
        <v>0</v>
      </c>
      <c r="BO71" s="2">
        <v>99997</v>
      </c>
      <c r="BP71" s="2">
        <v>1</v>
      </c>
      <c r="BQ71" s="2">
        <v>97</v>
      </c>
      <c r="BR71" s="2">
        <v>1</v>
      </c>
      <c r="BS71" s="2">
        <v>0</v>
      </c>
      <c r="BT71" s="2">
        <v>97</v>
      </c>
      <c r="BU71" s="2">
        <v>1</v>
      </c>
      <c r="BV71" s="2">
        <v>1</v>
      </c>
      <c r="BW71" s="2">
        <v>1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 t="s">
        <v>101</v>
      </c>
      <c r="CL71" s="2">
        <v>97</v>
      </c>
      <c r="CM71" s="2">
        <v>4</v>
      </c>
      <c r="CN71" s="2">
        <v>7</v>
      </c>
      <c r="CO71" s="2">
        <v>2</v>
      </c>
    </row>
    <row r="72" spans="1:93">
      <c r="A72">
        <v>49</v>
      </c>
      <c r="B72" t="s">
        <v>91</v>
      </c>
      <c r="C72" s="2">
        <v>7</v>
      </c>
      <c r="D72" s="2" t="s">
        <v>175</v>
      </c>
      <c r="E72">
        <v>97</v>
      </c>
      <c r="F72" s="2">
        <v>1</v>
      </c>
      <c r="G72" s="2">
        <v>1</v>
      </c>
      <c r="H72" s="2">
        <v>6</v>
      </c>
      <c r="I72" s="2">
        <f t="shared" si="20"/>
        <v>16.5</v>
      </c>
      <c r="J72" s="2">
        <f t="shared" si="21"/>
        <v>0.75</v>
      </c>
      <c r="K72" s="4">
        <v>0.75</v>
      </c>
      <c r="L72" s="2">
        <v>7</v>
      </c>
      <c r="M72" s="2">
        <v>1</v>
      </c>
      <c r="N72" s="2">
        <v>3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1</v>
      </c>
      <c r="AB72" s="2">
        <v>1</v>
      </c>
      <c r="AC72" s="2">
        <v>7</v>
      </c>
      <c r="AD72" s="2">
        <v>97</v>
      </c>
      <c r="AE72" s="2">
        <v>97</v>
      </c>
      <c r="AF72" s="2">
        <v>97</v>
      </c>
      <c r="AG72" s="2">
        <v>97</v>
      </c>
      <c r="AH72" s="2">
        <v>97</v>
      </c>
      <c r="AI72" s="2">
        <v>97</v>
      </c>
      <c r="AJ72" s="2">
        <v>97</v>
      </c>
      <c r="AK72" s="2">
        <v>97</v>
      </c>
      <c r="AL72" s="2">
        <v>97</v>
      </c>
      <c r="AM72" s="2">
        <v>97</v>
      </c>
      <c r="AN72" s="2">
        <v>97</v>
      </c>
      <c r="AO72" s="2">
        <v>97</v>
      </c>
      <c r="AP72" s="2">
        <v>2</v>
      </c>
      <c r="AQ72" s="2">
        <v>1</v>
      </c>
      <c r="AR72" s="2"/>
      <c r="AS72" s="2"/>
      <c r="AT72" s="2">
        <v>7</v>
      </c>
      <c r="AU72" s="2">
        <f t="shared" si="22"/>
        <v>2331</v>
      </c>
      <c r="AV72" s="2">
        <f t="shared" si="23"/>
        <v>2331</v>
      </c>
      <c r="AW72" s="1">
        <f t="shared" si="24"/>
        <v>423.81818181818181</v>
      </c>
      <c r="AX72" s="2"/>
      <c r="AY72" s="2"/>
      <c r="AZ72" s="2">
        <v>2</v>
      </c>
      <c r="BA72" s="2">
        <f t="shared" si="25"/>
        <v>666</v>
      </c>
      <c r="BB72" s="2">
        <f t="shared" si="26"/>
        <v>666</v>
      </c>
      <c r="BC72" s="2">
        <v>1</v>
      </c>
      <c r="BD72" s="2">
        <v>1</v>
      </c>
      <c r="BE72" s="2">
        <v>6</v>
      </c>
      <c r="BF72" s="4">
        <f t="shared" si="27"/>
        <v>6</v>
      </c>
      <c r="BG72" s="2">
        <v>1</v>
      </c>
      <c r="BH72" s="5">
        <f t="shared" si="28"/>
        <v>0.75</v>
      </c>
      <c r="BI72" s="2">
        <v>0</v>
      </c>
      <c r="BJ72" s="2">
        <v>3</v>
      </c>
      <c r="BK72" s="2">
        <v>0</v>
      </c>
      <c r="BL72" t="s">
        <v>83</v>
      </c>
      <c r="BM72" s="2">
        <f t="shared" si="29"/>
        <v>1</v>
      </c>
      <c r="BN72" s="2">
        <v>0</v>
      </c>
      <c r="BO72" s="2">
        <v>99997</v>
      </c>
      <c r="BP72" s="2">
        <v>3</v>
      </c>
      <c r="BQ72" s="2">
        <v>97</v>
      </c>
      <c r="BR72" s="2">
        <v>1</v>
      </c>
      <c r="BS72" s="2">
        <v>0</v>
      </c>
      <c r="BT72" s="2">
        <v>97</v>
      </c>
      <c r="BU72" s="2">
        <v>1</v>
      </c>
      <c r="BV72" s="2">
        <v>1</v>
      </c>
      <c r="BW72" s="2">
        <v>1</v>
      </c>
      <c r="BX72" s="2">
        <v>0</v>
      </c>
      <c r="BY72" s="2">
        <v>1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97</v>
      </c>
      <c r="CL72" s="2">
        <v>97</v>
      </c>
      <c r="CM72" s="2">
        <v>7</v>
      </c>
      <c r="CN72" s="2">
        <v>7</v>
      </c>
      <c r="CO72" s="2">
        <v>1</v>
      </c>
    </row>
    <row r="73" spans="1:93">
      <c r="A73">
        <v>48</v>
      </c>
      <c r="B73" t="s">
        <v>87</v>
      </c>
      <c r="C73" s="2">
        <v>14</v>
      </c>
      <c r="D73" s="2" t="s">
        <v>167</v>
      </c>
      <c r="E73" t="s">
        <v>109</v>
      </c>
      <c r="F73" s="2">
        <v>1</v>
      </c>
      <c r="G73" s="2">
        <v>1</v>
      </c>
      <c r="H73" s="2">
        <v>7</v>
      </c>
      <c r="I73" s="2">
        <f t="shared" si="20"/>
        <v>6.6</v>
      </c>
      <c r="J73" s="2">
        <f t="shared" si="21"/>
        <v>0.3</v>
      </c>
      <c r="K73" s="4">
        <v>0.3</v>
      </c>
      <c r="L73" s="2">
        <v>7</v>
      </c>
      <c r="M73" s="2">
        <v>1</v>
      </c>
      <c r="N73" s="2">
        <v>3</v>
      </c>
      <c r="O73" s="2">
        <v>0</v>
      </c>
      <c r="P73" s="2">
        <v>1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1</v>
      </c>
      <c r="AB73" s="2">
        <v>0</v>
      </c>
      <c r="AC73" s="2">
        <v>7</v>
      </c>
      <c r="AD73" s="2">
        <v>97</v>
      </c>
      <c r="AE73" s="2">
        <v>97</v>
      </c>
      <c r="AF73" s="2">
        <v>97</v>
      </c>
      <c r="AG73" s="2">
        <v>97</v>
      </c>
      <c r="AH73" s="2">
        <v>97</v>
      </c>
      <c r="AI73" s="2">
        <v>97</v>
      </c>
      <c r="AJ73" s="2">
        <v>97</v>
      </c>
      <c r="AK73" s="2">
        <v>97</v>
      </c>
      <c r="AL73" s="2">
        <v>97</v>
      </c>
      <c r="AM73" s="2">
        <v>97</v>
      </c>
      <c r="AN73" s="2">
        <v>97</v>
      </c>
      <c r="AO73" s="2">
        <v>97</v>
      </c>
      <c r="AP73" s="2">
        <v>2</v>
      </c>
      <c r="AQ73" s="2">
        <v>1</v>
      </c>
      <c r="AR73" s="2"/>
      <c r="AS73" s="2"/>
      <c r="AT73" s="2">
        <v>4</v>
      </c>
      <c r="AU73" s="2">
        <f t="shared" si="22"/>
        <v>1332</v>
      </c>
      <c r="AV73" s="2">
        <f t="shared" si="23"/>
        <v>1332</v>
      </c>
      <c r="AW73" s="1">
        <f t="shared" si="24"/>
        <v>242.18181818181819</v>
      </c>
      <c r="AX73" s="2"/>
      <c r="AY73" s="2"/>
      <c r="AZ73" s="2">
        <v>4</v>
      </c>
      <c r="BA73" s="2">
        <f t="shared" si="25"/>
        <v>1332</v>
      </c>
      <c r="BB73" s="2">
        <f t="shared" si="26"/>
        <v>1332</v>
      </c>
      <c r="BC73" s="2">
        <v>1</v>
      </c>
      <c r="BD73" s="2">
        <v>98</v>
      </c>
      <c r="BE73" s="2">
        <v>1</v>
      </c>
      <c r="BF73" s="4">
        <f t="shared" si="27"/>
        <v>1</v>
      </c>
      <c r="BG73" s="2">
        <v>1</v>
      </c>
      <c r="BH73" s="5">
        <f t="shared" si="28"/>
        <v>0.3</v>
      </c>
      <c r="BI73" s="2">
        <v>0</v>
      </c>
      <c r="BJ73" s="2">
        <v>5</v>
      </c>
      <c r="BK73" s="2">
        <v>1</v>
      </c>
      <c r="BL73" s="3">
        <v>97</v>
      </c>
      <c r="BM73" s="2">
        <f t="shared" si="29"/>
        <v>0</v>
      </c>
      <c r="BN73" s="2">
        <v>0</v>
      </c>
      <c r="BO73" s="2">
        <v>99997</v>
      </c>
      <c r="BP73" s="2">
        <v>3</v>
      </c>
      <c r="BQ73" s="2">
        <v>97</v>
      </c>
      <c r="BR73" s="2">
        <v>1</v>
      </c>
      <c r="BS73" s="2">
        <v>0</v>
      </c>
      <c r="BT73" s="2">
        <v>97</v>
      </c>
      <c r="BU73" s="2">
        <v>1</v>
      </c>
      <c r="BV73" s="2">
        <v>1</v>
      </c>
      <c r="BW73" s="2">
        <v>1</v>
      </c>
      <c r="BX73" s="2">
        <v>0</v>
      </c>
      <c r="BY73" s="2">
        <v>1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97</v>
      </c>
      <c r="CL73" s="2">
        <v>97</v>
      </c>
      <c r="CM73" s="2">
        <v>1</v>
      </c>
      <c r="CN73" s="2">
        <v>7</v>
      </c>
      <c r="CO73" s="2">
        <v>5</v>
      </c>
    </row>
    <row r="74" spans="1:93">
      <c r="A74">
        <v>47</v>
      </c>
      <c r="B74" t="s">
        <v>87</v>
      </c>
      <c r="C74" s="2">
        <v>97</v>
      </c>
      <c r="D74" s="2" t="s">
        <v>168</v>
      </c>
      <c r="E74" t="s">
        <v>108</v>
      </c>
      <c r="F74" s="2">
        <v>1</v>
      </c>
      <c r="G74" s="2">
        <v>0</v>
      </c>
      <c r="H74" s="2">
        <v>7</v>
      </c>
      <c r="I74" s="2">
        <f t="shared" si="20"/>
        <v>6.6</v>
      </c>
      <c r="J74" s="2">
        <f t="shared" si="21"/>
        <v>0.3</v>
      </c>
      <c r="K74" s="4">
        <v>0.3</v>
      </c>
      <c r="L74" s="2">
        <v>7</v>
      </c>
      <c r="M74" s="2">
        <v>1</v>
      </c>
      <c r="N74" s="2">
        <v>3</v>
      </c>
      <c r="O74" s="2">
        <v>0</v>
      </c>
      <c r="P74" s="2">
        <v>0</v>
      </c>
      <c r="Q74" s="2">
        <v>0</v>
      </c>
      <c r="R74" s="2">
        <v>1</v>
      </c>
      <c r="S74" s="2">
        <v>1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1</v>
      </c>
      <c r="AB74" s="2">
        <v>1</v>
      </c>
      <c r="AC74" s="2">
        <v>7</v>
      </c>
      <c r="AD74" s="2">
        <v>97</v>
      </c>
      <c r="AE74" s="2">
        <v>97</v>
      </c>
      <c r="AF74" s="2">
        <v>97</v>
      </c>
      <c r="AG74" s="2">
        <v>97</v>
      </c>
      <c r="AH74" s="2">
        <v>97</v>
      </c>
      <c r="AI74" s="2">
        <v>97</v>
      </c>
      <c r="AJ74" s="2">
        <v>97</v>
      </c>
      <c r="AK74" s="2">
        <v>97</v>
      </c>
      <c r="AL74" s="2">
        <v>97</v>
      </c>
      <c r="AM74" s="2">
        <v>97</v>
      </c>
      <c r="AN74" s="2">
        <v>97</v>
      </c>
      <c r="AO74" s="2">
        <v>97</v>
      </c>
      <c r="AP74" s="2">
        <v>3</v>
      </c>
      <c r="AQ74" s="2">
        <v>1</v>
      </c>
      <c r="AR74" s="2"/>
      <c r="AS74" s="2"/>
      <c r="AT74" s="2">
        <v>4</v>
      </c>
      <c r="AU74" s="2">
        <f t="shared" si="22"/>
        <v>1332</v>
      </c>
      <c r="AV74" s="2">
        <f t="shared" si="23"/>
        <v>1332</v>
      </c>
      <c r="AW74" s="1">
        <f t="shared" si="24"/>
        <v>242.18181818181819</v>
      </c>
      <c r="AX74" s="2"/>
      <c r="AY74" s="2"/>
      <c r="AZ74" s="2">
        <v>2</v>
      </c>
      <c r="BA74" s="2">
        <f t="shared" si="25"/>
        <v>666</v>
      </c>
      <c r="BB74" s="2">
        <f t="shared" si="26"/>
        <v>666</v>
      </c>
      <c r="BC74" s="2">
        <v>1</v>
      </c>
      <c r="BD74" s="2">
        <v>1</v>
      </c>
      <c r="BE74" s="2">
        <v>2</v>
      </c>
      <c r="BF74" s="4">
        <f t="shared" si="27"/>
        <v>2</v>
      </c>
      <c r="BG74" s="2">
        <v>1</v>
      </c>
      <c r="BH74" s="5">
        <f t="shared" si="28"/>
        <v>0.3</v>
      </c>
      <c r="BI74" s="2">
        <v>0</v>
      </c>
      <c r="BJ74" s="2">
        <v>1</v>
      </c>
      <c r="BK74" s="2">
        <v>1</v>
      </c>
      <c r="BL74" s="3">
        <v>97</v>
      </c>
      <c r="BM74" s="2">
        <f t="shared" si="29"/>
        <v>0</v>
      </c>
      <c r="BN74" s="2">
        <v>0</v>
      </c>
      <c r="BO74" s="2">
        <v>99997</v>
      </c>
      <c r="BP74" s="2">
        <v>3</v>
      </c>
      <c r="BQ74" s="2">
        <v>97</v>
      </c>
      <c r="BR74" s="2">
        <v>1</v>
      </c>
      <c r="BS74" s="2">
        <v>0</v>
      </c>
      <c r="BT74" s="2">
        <v>97</v>
      </c>
      <c r="BU74" s="2">
        <v>0</v>
      </c>
      <c r="BV74" s="2">
        <v>0</v>
      </c>
      <c r="BW74" s="2">
        <v>0</v>
      </c>
      <c r="BX74" s="2">
        <v>1</v>
      </c>
      <c r="BY74" s="2">
        <v>0</v>
      </c>
      <c r="BZ74" s="2">
        <v>0</v>
      </c>
      <c r="CA74" s="2">
        <v>0</v>
      </c>
      <c r="CB74" s="2">
        <v>0</v>
      </c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>
        <v>0</v>
      </c>
      <c r="CJ74" s="2">
        <v>0</v>
      </c>
      <c r="CK74" s="2">
        <v>97</v>
      </c>
      <c r="CL74" s="2">
        <v>97</v>
      </c>
      <c r="CM74" s="2">
        <v>98</v>
      </c>
      <c r="CN74" s="2">
        <v>7</v>
      </c>
      <c r="CO74" s="2">
        <v>99</v>
      </c>
    </row>
    <row r="75" spans="1:93">
      <c r="A75">
        <v>46</v>
      </c>
      <c r="B75" t="s">
        <v>85</v>
      </c>
      <c r="C75" s="2">
        <v>7</v>
      </c>
      <c r="D75" s="2" t="s">
        <v>175</v>
      </c>
      <c r="E75">
        <v>97</v>
      </c>
      <c r="F75" s="2">
        <v>1</v>
      </c>
      <c r="G75" s="2">
        <v>1</v>
      </c>
      <c r="H75" s="2">
        <v>6</v>
      </c>
      <c r="I75" s="2">
        <f t="shared" si="20"/>
        <v>16.5</v>
      </c>
      <c r="J75" s="2">
        <f t="shared" si="21"/>
        <v>0.75</v>
      </c>
      <c r="K75" s="4">
        <v>0.75</v>
      </c>
      <c r="L75" s="2">
        <v>7</v>
      </c>
      <c r="M75" s="2">
        <v>0</v>
      </c>
      <c r="N75" s="2">
        <v>3</v>
      </c>
      <c r="O75" s="2">
        <v>0</v>
      </c>
      <c r="P75" s="2">
        <v>0</v>
      </c>
      <c r="Q75" s="2">
        <v>0</v>
      </c>
      <c r="R75" s="2">
        <v>0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1</v>
      </c>
      <c r="AB75" s="2">
        <v>1</v>
      </c>
      <c r="AC75" s="2">
        <v>7</v>
      </c>
      <c r="AD75" s="2">
        <v>97</v>
      </c>
      <c r="AE75" s="2">
        <v>97</v>
      </c>
      <c r="AF75" s="2">
        <v>97</v>
      </c>
      <c r="AG75" s="2">
        <v>97</v>
      </c>
      <c r="AH75" s="2">
        <v>97</v>
      </c>
      <c r="AI75" s="2">
        <v>97</v>
      </c>
      <c r="AJ75" s="2">
        <v>97</v>
      </c>
      <c r="AK75" s="2">
        <v>97</v>
      </c>
      <c r="AL75" s="2">
        <v>97</v>
      </c>
      <c r="AM75" s="2">
        <v>97</v>
      </c>
      <c r="AN75" s="2">
        <v>97</v>
      </c>
      <c r="AO75" s="2">
        <v>97</v>
      </c>
      <c r="AP75" s="2">
        <v>1</v>
      </c>
      <c r="AQ75" s="2">
        <v>1</v>
      </c>
      <c r="AR75" s="2">
        <v>60</v>
      </c>
      <c r="AS75" s="2"/>
      <c r="AT75" s="2"/>
      <c r="AU75" s="2">
        <f t="shared" si="22"/>
        <v>60</v>
      </c>
      <c r="AV75" s="2">
        <f t="shared" si="23"/>
        <v>60</v>
      </c>
      <c r="AW75" s="1">
        <f t="shared" si="24"/>
        <v>10.909090909090908</v>
      </c>
      <c r="AX75" s="2">
        <v>20</v>
      </c>
      <c r="AY75" s="2"/>
      <c r="AZ75" s="2"/>
      <c r="BA75" s="2">
        <f t="shared" si="25"/>
        <v>20</v>
      </c>
      <c r="BB75" s="2">
        <f t="shared" si="26"/>
        <v>20</v>
      </c>
      <c r="BC75" s="2">
        <v>0</v>
      </c>
      <c r="BD75" s="2">
        <v>1</v>
      </c>
      <c r="BE75" s="2">
        <v>3</v>
      </c>
      <c r="BF75" s="4">
        <f t="shared" si="27"/>
        <v>3</v>
      </c>
      <c r="BG75" s="2">
        <v>1</v>
      </c>
      <c r="BH75" s="5">
        <f t="shared" si="28"/>
        <v>0.75</v>
      </c>
      <c r="BI75" s="2">
        <v>0</v>
      </c>
      <c r="BJ75" s="2">
        <v>4</v>
      </c>
      <c r="BK75" s="2">
        <v>0</v>
      </c>
      <c r="BL75" t="s">
        <v>83</v>
      </c>
      <c r="BM75" s="2">
        <f t="shared" si="29"/>
        <v>1</v>
      </c>
      <c r="BN75" s="2">
        <v>0</v>
      </c>
      <c r="BO75" s="2">
        <v>99997</v>
      </c>
      <c r="BP75" s="2">
        <v>1</v>
      </c>
      <c r="BQ75" s="2">
        <v>97</v>
      </c>
      <c r="BR75" s="2">
        <v>1</v>
      </c>
      <c r="BS75" s="2">
        <v>0</v>
      </c>
      <c r="BT75" s="2">
        <v>97</v>
      </c>
      <c r="BU75" s="2">
        <v>0</v>
      </c>
      <c r="BV75" s="2">
        <v>1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97</v>
      </c>
      <c r="CL75" s="2">
        <v>97</v>
      </c>
      <c r="CM75" s="2">
        <v>98</v>
      </c>
      <c r="CN75" s="2">
        <v>7</v>
      </c>
      <c r="CO75" s="2">
        <v>99</v>
      </c>
    </row>
    <row r="76" spans="1:93">
      <c r="A76">
        <v>45</v>
      </c>
      <c r="B76" t="s">
        <v>106</v>
      </c>
      <c r="C76" s="2">
        <v>97</v>
      </c>
      <c r="D76" s="2" t="s">
        <v>168</v>
      </c>
      <c r="E76" t="s">
        <v>235</v>
      </c>
      <c r="F76" s="2">
        <v>0</v>
      </c>
      <c r="G76" s="2">
        <v>0</v>
      </c>
      <c r="H76" s="2">
        <v>6</v>
      </c>
      <c r="I76" s="2">
        <f t="shared" si="20"/>
        <v>16.5</v>
      </c>
      <c r="J76" s="2">
        <f t="shared" si="21"/>
        <v>0.75</v>
      </c>
      <c r="K76" s="2">
        <f>J76</f>
        <v>0.75</v>
      </c>
      <c r="L76" s="2">
        <v>7</v>
      </c>
      <c r="M76" s="2">
        <v>1</v>
      </c>
      <c r="N76" s="2">
        <v>3</v>
      </c>
      <c r="O76" s="2">
        <v>0</v>
      </c>
      <c r="P76" s="2">
        <v>1</v>
      </c>
      <c r="Q76" s="2">
        <v>0</v>
      </c>
      <c r="R76" s="2">
        <v>0</v>
      </c>
      <c r="S76" s="2">
        <v>0</v>
      </c>
      <c r="T76" s="2">
        <v>0</v>
      </c>
      <c r="U76" s="2">
        <v>1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1</v>
      </c>
      <c r="AB76" s="2">
        <v>1</v>
      </c>
      <c r="AC76" s="2">
        <v>3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1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3</v>
      </c>
      <c r="AQ76" s="2">
        <v>7</v>
      </c>
      <c r="AR76" s="2"/>
      <c r="AS76" s="2">
        <v>18</v>
      </c>
      <c r="AT76" s="2"/>
      <c r="AU76" s="2">
        <f t="shared" si="22"/>
        <v>5994</v>
      </c>
      <c r="AV76" s="2">
        <f t="shared" si="23"/>
        <v>5994</v>
      </c>
      <c r="AW76" s="1">
        <f t="shared" ref="AW76" si="30">AV76/5.5</f>
        <v>1089.8181818181818</v>
      </c>
      <c r="AX76" s="2"/>
      <c r="AY76" s="2">
        <v>7</v>
      </c>
      <c r="AZ76" s="2"/>
      <c r="BA76" s="2">
        <f t="shared" si="25"/>
        <v>2331</v>
      </c>
      <c r="BB76" s="2">
        <f t="shared" si="26"/>
        <v>2331</v>
      </c>
      <c r="BC76" s="2">
        <v>1</v>
      </c>
      <c r="BD76" s="2">
        <v>1</v>
      </c>
      <c r="BE76" s="2">
        <v>3</v>
      </c>
      <c r="BF76" s="4">
        <f t="shared" si="27"/>
        <v>3</v>
      </c>
      <c r="BG76" s="2">
        <v>1</v>
      </c>
      <c r="BH76" s="5">
        <f t="shared" si="28"/>
        <v>0.75</v>
      </c>
      <c r="BI76" s="2">
        <v>0</v>
      </c>
      <c r="BJ76" s="2">
        <v>2</v>
      </c>
      <c r="BK76" s="2">
        <v>0</v>
      </c>
      <c r="BL76" t="s">
        <v>83</v>
      </c>
      <c r="BM76" s="2">
        <f t="shared" si="29"/>
        <v>1</v>
      </c>
      <c r="BN76" s="2">
        <v>0</v>
      </c>
      <c r="BO76" s="2">
        <v>99997</v>
      </c>
      <c r="BP76" s="2">
        <v>97</v>
      </c>
      <c r="BQ76" s="2" t="s">
        <v>107</v>
      </c>
      <c r="BR76" s="2">
        <v>1</v>
      </c>
      <c r="BS76" s="2">
        <v>1</v>
      </c>
      <c r="BT76" s="2">
        <v>2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 t="s">
        <v>236</v>
      </c>
      <c r="CL76" s="2">
        <v>97</v>
      </c>
      <c r="CM76" s="2">
        <v>5</v>
      </c>
      <c r="CN76" s="2">
        <v>3</v>
      </c>
      <c r="CO76" s="2">
        <v>1</v>
      </c>
    </row>
    <row r="77" spans="1:93">
      <c r="A77">
        <v>43</v>
      </c>
      <c r="B77" t="s">
        <v>85</v>
      </c>
      <c r="C77" s="2">
        <v>97</v>
      </c>
      <c r="D77" s="2" t="s">
        <v>168</v>
      </c>
      <c r="E77" t="s">
        <v>105</v>
      </c>
      <c r="F77" s="2">
        <v>1</v>
      </c>
      <c r="G77" s="2">
        <v>1</v>
      </c>
      <c r="H77" s="2">
        <v>7</v>
      </c>
      <c r="I77" s="2">
        <f t="shared" si="20"/>
        <v>6.6</v>
      </c>
      <c r="J77" s="2">
        <f t="shared" si="21"/>
        <v>0.3</v>
      </c>
      <c r="K77" s="4">
        <v>0.3</v>
      </c>
      <c r="L77" s="2">
        <v>7</v>
      </c>
      <c r="M77" s="2">
        <v>1</v>
      </c>
      <c r="N77" s="2">
        <v>3</v>
      </c>
      <c r="O77" s="2">
        <v>0</v>
      </c>
      <c r="P77" s="2">
        <v>0</v>
      </c>
      <c r="Q77" s="2">
        <v>0</v>
      </c>
      <c r="R77" s="2">
        <v>0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1</v>
      </c>
      <c r="AB77" s="2">
        <v>1</v>
      </c>
      <c r="AC77" s="2">
        <v>7</v>
      </c>
      <c r="AD77" s="2">
        <v>97</v>
      </c>
      <c r="AE77" s="2">
        <v>97</v>
      </c>
      <c r="AF77" s="2">
        <v>97</v>
      </c>
      <c r="AG77" s="2">
        <v>97</v>
      </c>
      <c r="AH77" s="2">
        <v>97</v>
      </c>
      <c r="AI77" s="2">
        <v>97</v>
      </c>
      <c r="AJ77" s="2">
        <v>97</v>
      </c>
      <c r="AK77" s="2">
        <v>97</v>
      </c>
      <c r="AL77" s="2">
        <v>97</v>
      </c>
      <c r="AM77" s="2">
        <v>97</v>
      </c>
      <c r="AN77" s="2">
        <v>97</v>
      </c>
      <c r="AO77" s="2">
        <v>97</v>
      </c>
      <c r="AP77" s="2">
        <v>1</v>
      </c>
      <c r="AQ77" s="2">
        <v>1</v>
      </c>
      <c r="AR77" s="2"/>
      <c r="AS77" s="2">
        <v>6</v>
      </c>
      <c r="AT77" s="2"/>
      <c r="AU77" s="2">
        <f t="shared" si="22"/>
        <v>1998</v>
      </c>
      <c r="AV77" s="2">
        <f t="shared" si="23"/>
        <v>1998</v>
      </c>
      <c r="AW77" s="1">
        <f t="shared" ref="AW77:AW110" si="31">AV77/5.5</f>
        <v>363.27272727272725</v>
      </c>
      <c r="AX77" s="2"/>
      <c r="AY77" s="2">
        <v>6</v>
      </c>
      <c r="AZ77" s="2"/>
      <c r="BA77" s="2">
        <f t="shared" si="25"/>
        <v>1998</v>
      </c>
      <c r="BB77" s="2">
        <f t="shared" si="26"/>
        <v>1998</v>
      </c>
      <c r="BC77" s="2">
        <v>1</v>
      </c>
      <c r="BD77" s="2">
        <v>1</v>
      </c>
      <c r="BE77" s="2">
        <v>1</v>
      </c>
      <c r="BF77" s="4">
        <f t="shared" si="27"/>
        <v>1</v>
      </c>
      <c r="BG77" s="2">
        <v>1</v>
      </c>
      <c r="BH77" s="5">
        <f t="shared" si="28"/>
        <v>0.3</v>
      </c>
      <c r="BI77" s="2">
        <v>0</v>
      </c>
      <c r="BJ77" s="2">
        <v>2</v>
      </c>
      <c r="BK77" s="2">
        <v>0</v>
      </c>
      <c r="BL77" t="s">
        <v>83</v>
      </c>
      <c r="BM77" s="2">
        <f t="shared" si="29"/>
        <v>1</v>
      </c>
      <c r="BN77" s="2">
        <v>0</v>
      </c>
      <c r="BO77" s="2">
        <v>99997</v>
      </c>
      <c r="BP77" s="2">
        <v>2</v>
      </c>
      <c r="BQ77" s="2">
        <v>97</v>
      </c>
      <c r="BR77" s="2">
        <v>1</v>
      </c>
      <c r="BS77" s="2">
        <v>0</v>
      </c>
      <c r="BT77" s="2">
        <v>97</v>
      </c>
      <c r="BU77" s="2">
        <v>0</v>
      </c>
      <c r="BV77" s="2">
        <v>1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97</v>
      </c>
      <c r="CL77" s="2">
        <v>97</v>
      </c>
      <c r="CM77" s="2">
        <v>98</v>
      </c>
      <c r="CN77" s="2">
        <v>7</v>
      </c>
      <c r="CO77" s="2">
        <v>1</v>
      </c>
    </row>
    <row r="78" spans="1:93">
      <c r="A78">
        <v>42</v>
      </c>
      <c r="B78" t="s">
        <v>85</v>
      </c>
      <c r="C78" s="2">
        <v>14</v>
      </c>
      <c r="D78" s="2" t="s">
        <v>167</v>
      </c>
      <c r="E78" t="s">
        <v>104</v>
      </c>
      <c r="F78" s="2">
        <v>1</v>
      </c>
      <c r="G78" s="2">
        <v>1</v>
      </c>
      <c r="H78" s="2">
        <v>7</v>
      </c>
      <c r="I78" s="2">
        <f t="shared" si="20"/>
        <v>6.6</v>
      </c>
      <c r="J78" s="2">
        <f t="shared" si="21"/>
        <v>0.3</v>
      </c>
      <c r="K78" s="4">
        <v>0.3</v>
      </c>
      <c r="L78" s="2">
        <v>7</v>
      </c>
      <c r="M78" s="2">
        <v>1</v>
      </c>
      <c r="N78" s="2">
        <v>3</v>
      </c>
      <c r="O78" s="2">
        <v>0</v>
      </c>
      <c r="P78" s="2">
        <v>0</v>
      </c>
      <c r="Q78" s="2">
        <v>0</v>
      </c>
      <c r="R78" s="2">
        <v>0</v>
      </c>
      <c r="S78" s="2">
        <v>1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1</v>
      </c>
      <c r="AC78" s="2">
        <v>7</v>
      </c>
      <c r="AD78" s="2">
        <v>97</v>
      </c>
      <c r="AE78" s="2">
        <v>97</v>
      </c>
      <c r="AF78" s="2">
        <v>97</v>
      </c>
      <c r="AG78" s="2">
        <v>97</v>
      </c>
      <c r="AH78" s="2">
        <v>97</v>
      </c>
      <c r="AI78" s="2">
        <v>97</v>
      </c>
      <c r="AJ78" s="2">
        <v>97</v>
      </c>
      <c r="AK78" s="2">
        <v>97</v>
      </c>
      <c r="AL78" s="2">
        <v>97</v>
      </c>
      <c r="AM78" s="2">
        <v>97</v>
      </c>
      <c r="AN78" s="2">
        <v>97</v>
      </c>
      <c r="AO78" s="2">
        <v>97</v>
      </c>
      <c r="AP78" s="2">
        <v>3</v>
      </c>
      <c r="AQ78" s="2">
        <v>1</v>
      </c>
      <c r="AR78" s="2">
        <v>5</v>
      </c>
      <c r="AS78" s="2"/>
      <c r="AT78" s="2"/>
      <c r="AU78" s="2">
        <f t="shared" si="22"/>
        <v>5</v>
      </c>
      <c r="AV78" s="2">
        <f t="shared" si="23"/>
        <v>5</v>
      </c>
      <c r="AW78" s="1">
        <f t="shared" si="31"/>
        <v>0.90909090909090906</v>
      </c>
      <c r="AX78" s="2">
        <v>2</v>
      </c>
      <c r="AY78" s="2"/>
      <c r="AZ78" s="2"/>
      <c r="BA78" s="2">
        <f t="shared" si="25"/>
        <v>2</v>
      </c>
      <c r="BB78" s="2">
        <f t="shared" si="26"/>
        <v>2</v>
      </c>
      <c r="BC78" s="2">
        <v>1</v>
      </c>
      <c r="BD78" s="2">
        <v>1</v>
      </c>
      <c r="BE78" s="2">
        <v>2</v>
      </c>
      <c r="BF78" s="4">
        <f t="shared" si="27"/>
        <v>2</v>
      </c>
      <c r="BG78" s="2">
        <v>1</v>
      </c>
      <c r="BH78" s="5">
        <f t="shared" si="28"/>
        <v>0.3</v>
      </c>
      <c r="BI78" s="2">
        <v>0</v>
      </c>
      <c r="BJ78" s="2">
        <v>4</v>
      </c>
      <c r="BK78" s="2">
        <v>0</v>
      </c>
      <c r="BL78" t="s">
        <v>83</v>
      </c>
      <c r="BM78" s="2">
        <f t="shared" si="29"/>
        <v>1</v>
      </c>
      <c r="BN78" s="2">
        <v>0</v>
      </c>
      <c r="BO78" s="2">
        <v>99997</v>
      </c>
      <c r="BP78" s="2">
        <v>1</v>
      </c>
      <c r="BQ78" s="2">
        <v>97</v>
      </c>
      <c r="BR78" s="2">
        <v>1</v>
      </c>
      <c r="BS78" s="2">
        <v>0</v>
      </c>
      <c r="BT78" s="2">
        <v>97</v>
      </c>
      <c r="BU78" s="2">
        <v>0</v>
      </c>
      <c r="BV78" s="2">
        <v>1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97</v>
      </c>
      <c r="CL78" s="2">
        <v>97</v>
      </c>
      <c r="CM78" s="2">
        <v>4</v>
      </c>
      <c r="CN78" s="2">
        <v>1</v>
      </c>
      <c r="CO78" s="2">
        <v>1</v>
      </c>
    </row>
    <row r="79" spans="1:93">
      <c r="A79">
        <v>40</v>
      </c>
      <c r="B79" t="s">
        <v>85</v>
      </c>
      <c r="C79" s="2">
        <v>7</v>
      </c>
      <c r="D79" s="2" t="s">
        <v>175</v>
      </c>
      <c r="E79">
        <v>97</v>
      </c>
      <c r="F79" s="2">
        <v>1</v>
      </c>
      <c r="G79" s="2">
        <v>1</v>
      </c>
      <c r="H79" s="2">
        <v>6</v>
      </c>
      <c r="I79" s="2">
        <f t="shared" si="20"/>
        <v>16.5</v>
      </c>
      <c r="J79" s="2">
        <f t="shared" si="21"/>
        <v>0.75</v>
      </c>
      <c r="K79" s="4">
        <v>0.75</v>
      </c>
      <c r="L79" s="2">
        <v>4</v>
      </c>
      <c r="M79" s="2">
        <v>0</v>
      </c>
      <c r="N79" s="2">
        <v>3</v>
      </c>
      <c r="O79" s="2">
        <v>0</v>
      </c>
      <c r="P79" s="2">
        <v>0</v>
      </c>
      <c r="Q79" s="2">
        <v>0</v>
      </c>
      <c r="R79" s="2">
        <v>0</v>
      </c>
      <c r="S79" s="2">
        <v>1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1</v>
      </c>
      <c r="AB79" s="2">
        <v>1</v>
      </c>
      <c r="AC79" s="2">
        <v>4</v>
      </c>
      <c r="AD79" s="2">
        <v>0</v>
      </c>
      <c r="AE79" s="2">
        <v>0</v>
      </c>
      <c r="AF79" s="2">
        <v>0</v>
      </c>
      <c r="AG79" s="2">
        <v>1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1</v>
      </c>
      <c r="AQ79" s="2">
        <v>7</v>
      </c>
      <c r="AR79" s="2">
        <v>120</v>
      </c>
      <c r="AS79" s="2"/>
      <c r="AT79" s="2"/>
      <c r="AU79" s="2">
        <f t="shared" si="22"/>
        <v>120</v>
      </c>
      <c r="AV79" s="2">
        <f t="shared" si="23"/>
        <v>120</v>
      </c>
      <c r="AW79" s="1">
        <f t="shared" si="31"/>
        <v>21.818181818181817</v>
      </c>
      <c r="AX79" s="2">
        <v>40</v>
      </c>
      <c r="AY79" s="2"/>
      <c r="AZ79" s="2"/>
      <c r="BA79" s="2">
        <f t="shared" si="25"/>
        <v>40</v>
      </c>
      <c r="BB79" s="2">
        <f t="shared" si="26"/>
        <v>40</v>
      </c>
      <c r="BC79" s="2">
        <v>0</v>
      </c>
      <c r="BD79" s="2">
        <v>1</v>
      </c>
      <c r="BE79" s="2">
        <v>3</v>
      </c>
      <c r="BF79" s="4">
        <f t="shared" si="27"/>
        <v>3</v>
      </c>
      <c r="BG79" s="2">
        <v>1</v>
      </c>
      <c r="BH79" s="5">
        <f t="shared" si="28"/>
        <v>0.75</v>
      </c>
      <c r="BI79" s="2">
        <v>98</v>
      </c>
      <c r="BJ79" s="2">
        <v>5</v>
      </c>
      <c r="BK79" s="2">
        <v>0</v>
      </c>
      <c r="BL79" t="s">
        <v>103</v>
      </c>
      <c r="BM79" s="2">
        <f t="shared" si="29"/>
        <v>0</v>
      </c>
      <c r="BN79" s="2">
        <v>0</v>
      </c>
      <c r="BO79" s="2">
        <v>99997</v>
      </c>
      <c r="BP79" s="2">
        <v>1</v>
      </c>
      <c r="BQ79" s="2">
        <v>97</v>
      </c>
      <c r="BR79" s="2">
        <v>1</v>
      </c>
      <c r="BS79" s="2">
        <v>0</v>
      </c>
      <c r="BT79" s="2">
        <v>97</v>
      </c>
      <c r="BU79" s="2">
        <v>0</v>
      </c>
      <c r="BV79" s="2">
        <v>0</v>
      </c>
      <c r="BW79" s="2">
        <v>1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97</v>
      </c>
      <c r="CL79" s="2">
        <v>99</v>
      </c>
      <c r="CM79" s="2">
        <v>99</v>
      </c>
      <c r="CN79" s="2">
        <v>99</v>
      </c>
      <c r="CO79" s="2">
        <v>99</v>
      </c>
    </row>
    <row r="80" spans="1:93">
      <c r="A80">
        <v>38</v>
      </c>
      <c r="B80" t="s">
        <v>85</v>
      </c>
      <c r="C80" s="2">
        <v>13</v>
      </c>
      <c r="D80" s="2" t="s">
        <v>166</v>
      </c>
      <c r="E80">
        <v>97</v>
      </c>
      <c r="F80" s="2">
        <v>1</v>
      </c>
      <c r="G80" s="2">
        <v>1</v>
      </c>
      <c r="H80" s="2">
        <v>7</v>
      </c>
      <c r="I80" s="2">
        <f t="shared" si="20"/>
        <v>6.6</v>
      </c>
      <c r="J80" s="2">
        <f t="shared" si="21"/>
        <v>0.3</v>
      </c>
      <c r="K80" s="4">
        <v>0.3</v>
      </c>
      <c r="L80" s="2">
        <v>7</v>
      </c>
      <c r="M80" s="2">
        <v>0</v>
      </c>
      <c r="N80" s="2">
        <v>3</v>
      </c>
      <c r="O80" s="2">
        <v>0</v>
      </c>
      <c r="P80" s="2">
        <v>0</v>
      </c>
      <c r="Q80" s="2">
        <v>0</v>
      </c>
      <c r="R80" s="2">
        <v>0</v>
      </c>
      <c r="S80" s="2">
        <v>1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1</v>
      </c>
      <c r="AC80" s="2">
        <v>7</v>
      </c>
      <c r="AD80" s="2">
        <v>97</v>
      </c>
      <c r="AE80" s="2">
        <v>97</v>
      </c>
      <c r="AF80" s="2">
        <v>97</v>
      </c>
      <c r="AG80" s="2">
        <v>97</v>
      </c>
      <c r="AH80" s="2">
        <v>97</v>
      </c>
      <c r="AI80" s="2">
        <v>97</v>
      </c>
      <c r="AJ80" s="2">
        <v>97</v>
      </c>
      <c r="AK80" s="2">
        <v>97</v>
      </c>
      <c r="AL80" s="2">
        <v>97</v>
      </c>
      <c r="AM80" s="2">
        <v>97</v>
      </c>
      <c r="AN80" s="2">
        <v>97</v>
      </c>
      <c r="AO80" s="2">
        <v>97</v>
      </c>
      <c r="AP80" s="2">
        <v>1</v>
      </c>
      <c r="AQ80" s="2">
        <v>6</v>
      </c>
      <c r="AR80" s="2"/>
      <c r="AS80" s="2"/>
      <c r="AT80" s="2">
        <v>2</v>
      </c>
      <c r="AU80" s="2">
        <f t="shared" si="22"/>
        <v>666</v>
      </c>
      <c r="AV80" s="2">
        <f t="shared" si="23"/>
        <v>666</v>
      </c>
      <c r="AW80" s="1">
        <f t="shared" si="31"/>
        <v>121.09090909090909</v>
      </c>
      <c r="AX80" s="2"/>
      <c r="AY80" s="2"/>
      <c r="AZ80" s="2">
        <v>1</v>
      </c>
      <c r="BA80" s="2">
        <f t="shared" si="25"/>
        <v>333</v>
      </c>
      <c r="BB80" s="2">
        <f t="shared" si="26"/>
        <v>333</v>
      </c>
      <c r="BC80" s="2">
        <v>0</v>
      </c>
      <c r="BD80" s="2">
        <v>1</v>
      </c>
      <c r="BE80" s="2">
        <v>2</v>
      </c>
      <c r="BF80" s="4">
        <f t="shared" si="27"/>
        <v>2</v>
      </c>
      <c r="BG80" s="2">
        <v>1</v>
      </c>
      <c r="BH80" s="5">
        <f t="shared" si="28"/>
        <v>0.3</v>
      </c>
      <c r="BI80" s="2">
        <v>1</v>
      </c>
      <c r="BJ80" s="2">
        <v>4</v>
      </c>
      <c r="BK80" s="2">
        <v>0</v>
      </c>
      <c r="BL80" t="s">
        <v>83</v>
      </c>
      <c r="BM80" s="2">
        <f t="shared" si="29"/>
        <v>1</v>
      </c>
      <c r="BN80" s="2">
        <v>0</v>
      </c>
      <c r="BO80" s="2">
        <v>99997</v>
      </c>
      <c r="BP80" s="2">
        <v>2</v>
      </c>
      <c r="BQ80" s="2">
        <v>97</v>
      </c>
      <c r="BR80" s="2">
        <v>1</v>
      </c>
      <c r="BS80" s="2">
        <v>1</v>
      </c>
      <c r="BT80" s="2">
        <v>2</v>
      </c>
      <c r="BU80" s="2">
        <v>1</v>
      </c>
      <c r="BV80" s="2">
        <v>1</v>
      </c>
      <c r="BW80" s="2">
        <v>1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97</v>
      </c>
      <c r="CL80" s="2">
        <v>97</v>
      </c>
      <c r="CM80" s="2">
        <v>98</v>
      </c>
      <c r="CN80" s="2">
        <v>6</v>
      </c>
      <c r="CO80" s="2">
        <v>6</v>
      </c>
    </row>
    <row r="81" spans="1:93">
      <c r="A81">
        <v>37</v>
      </c>
      <c r="B81" t="s">
        <v>85</v>
      </c>
      <c r="C81" s="2">
        <v>11</v>
      </c>
      <c r="D81" s="2" t="s">
        <v>164</v>
      </c>
      <c r="E81">
        <v>97</v>
      </c>
      <c r="F81" s="2">
        <v>1</v>
      </c>
      <c r="G81" s="2">
        <v>1</v>
      </c>
      <c r="H81" s="2">
        <v>6</v>
      </c>
      <c r="I81" s="2">
        <f t="shared" si="20"/>
        <v>16.5</v>
      </c>
      <c r="J81" s="2">
        <f t="shared" si="21"/>
        <v>0.75</v>
      </c>
      <c r="K81" s="4">
        <v>0.75</v>
      </c>
      <c r="L81" s="2">
        <v>6</v>
      </c>
      <c r="M81" s="2">
        <v>1</v>
      </c>
      <c r="N81" s="2">
        <v>3</v>
      </c>
      <c r="O81" s="2">
        <v>0</v>
      </c>
      <c r="P81" s="2">
        <v>0</v>
      </c>
      <c r="Q81" s="2">
        <v>0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1</v>
      </c>
      <c r="AC81" s="2">
        <v>5</v>
      </c>
      <c r="AD81" s="2">
        <v>97</v>
      </c>
      <c r="AE81" s="2">
        <v>97</v>
      </c>
      <c r="AF81" s="2">
        <v>97</v>
      </c>
      <c r="AG81" s="2">
        <v>97</v>
      </c>
      <c r="AH81" s="2">
        <v>97</v>
      </c>
      <c r="AI81" s="2">
        <v>97</v>
      </c>
      <c r="AJ81" s="2">
        <v>97</v>
      </c>
      <c r="AK81" s="2">
        <v>97</v>
      </c>
      <c r="AL81" s="2">
        <v>97</v>
      </c>
      <c r="AM81" s="2">
        <v>97</v>
      </c>
      <c r="AN81" s="2">
        <v>97</v>
      </c>
      <c r="AO81" s="2">
        <v>97</v>
      </c>
      <c r="AP81" s="2">
        <v>1</v>
      </c>
      <c r="AQ81" s="2">
        <v>2</v>
      </c>
      <c r="AR81" s="2"/>
      <c r="AS81" s="2"/>
      <c r="AT81" s="2">
        <v>2</v>
      </c>
      <c r="AU81" s="2">
        <f t="shared" si="22"/>
        <v>666</v>
      </c>
      <c r="AV81" s="2">
        <f t="shared" si="23"/>
        <v>666</v>
      </c>
      <c r="AW81" s="1">
        <f t="shared" si="31"/>
        <v>121.09090909090909</v>
      </c>
      <c r="AX81" s="2"/>
      <c r="AY81" s="2"/>
      <c r="AZ81" s="2">
        <v>1</v>
      </c>
      <c r="BA81" s="2">
        <f t="shared" si="25"/>
        <v>333</v>
      </c>
      <c r="BB81" s="2">
        <f t="shared" si="26"/>
        <v>333</v>
      </c>
      <c r="BC81" s="2">
        <v>0</v>
      </c>
      <c r="BD81" s="2">
        <v>1</v>
      </c>
      <c r="BE81" s="2">
        <v>2</v>
      </c>
      <c r="BF81" s="4">
        <f t="shared" si="27"/>
        <v>2</v>
      </c>
      <c r="BG81" s="2">
        <v>1</v>
      </c>
      <c r="BH81" s="5">
        <f t="shared" si="28"/>
        <v>0.75</v>
      </c>
      <c r="BI81" s="2">
        <v>0</v>
      </c>
      <c r="BJ81" s="2">
        <v>3</v>
      </c>
      <c r="BK81" s="2">
        <v>0</v>
      </c>
      <c r="BL81" t="s">
        <v>83</v>
      </c>
      <c r="BM81" s="2">
        <f t="shared" si="29"/>
        <v>1</v>
      </c>
      <c r="BN81" s="2">
        <v>98</v>
      </c>
      <c r="BO81" s="2">
        <v>99997</v>
      </c>
      <c r="BP81" s="2">
        <v>3</v>
      </c>
      <c r="BQ81" s="2">
        <v>97</v>
      </c>
      <c r="BR81" s="2">
        <v>1</v>
      </c>
      <c r="BS81" s="2">
        <v>0</v>
      </c>
      <c r="BT81" s="2">
        <v>97</v>
      </c>
      <c r="BU81" s="2">
        <v>1</v>
      </c>
      <c r="BV81" s="2">
        <v>1</v>
      </c>
      <c r="BW81" s="2">
        <v>0</v>
      </c>
      <c r="BX81" s="2">
        <v>1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>
        <v>0</v>
      </c>
      <c r="CJ81" s="2">
        <v>0</v>
      </c>
      <c r="CK81" s="2">
        <v>97</v>
      </c>
      <c r="CL81" s="2">
        <v>97</v>
      </c>
      <c r="CM81" s="2">
        <v>98</v>
      </c>
      <c r="CN81" s="2">
        <v>6</v>
      </c>
      <c r="CO81" s="2">
        <v>4</v>
      </c>
    </row>
    <row r="82" spans="1:93">
      <c r="A82">
        <v>36</v>
      </c>
      <c r="B82" t="s">
        <v>81</v>
      </c>
      <c r="C82" s="2">
        <v>15</v>
      </c>
      <c r="D82" s="2" t="s">
        <v>174</v>
      </c>
      <c r="E82">
        <v>97</v>
      </c>
      <c r="F82" s="2">
        <v>0</v>
      </c>
      <c r="G82" s="2">
        <v>0</v>
      </c>
      <c r="H82" s="2">
        <v>5</v>
      </c>
      <c r="I82" s="2">
        <f t="shared" si="20"/>
        <v>22</v>
      </c>
      <c r="J82" s="2">
        <f t="shared" si="21"/>
        <v>1</v>
      </c>
      <c r="K82" s="4">
        <v>1</v>
      </c>
      <c r="L82" s="2">
        <v>7</v>
      </c>
      <c r="M82" s="2">
        <v>0</v>
      </c>
      <c r="N82" s="2">
        <v>3</v>
      </c>
      <c r="O82" s="2">
        <v>0</v>
      </c>
      <c r="P82" s="2">
        <v>0</v>
      </c>
      <c r="Q82" s="2">
        <v>0</v>
      </c>
      <c r="R82" s="2">
        <v>0</v>
      </c>
      <c r="S82" s="2">
        <v>1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1</v>
      </c>
      <c r="AC82" s="2">
        <v>7</v>
      </c>
      <c r="AD82" s="2">
        <v>97</v>
      </c>
      <c r="AE82" s="2">
        <v>97</v>
      </c>
      <c r="AF82" s="2">
        <v>97</v>
      </c>
      <c r="AG82" s="2">
        <v>97</v>
      </c>
      <c r="AH82" s="2">
        <v>97</v>
      </c>
      <c r="AI82" s="2">
        <v>97</v>
      </c>
      <c r="AJ82" s="2">
        <v>97</v>
      </c>
      <c r="AK82" s="2">
        <v>97</v>
      </c>
      <c r="AL82" s="2">
        <v>97</v>
      </c>
      <c r="AM82" s="2">
        <v>97</v>
      </c>
      <c r="AN82" s="2">
        <v>97</v>
      </c>
      <c r="AO82" s="2">
        <v>97</v>
      </c>
      <c r="AP82" s="2">
        <v>1</v>
      </c>
      <c r="AQ82" s="2">
        <v>6</v>
      </c>
      <c r="AR82" s="2">
        <v>30</v>
      </c>
      <c r="AS82" s="2"/>
      <c r="AT82" s="2"/>
      <c r="AU82" s="2">
        <f t="shared" si="22"/>
        <v>30</v>
      </c>
      <c r="AV82" s="2">
        <f t="shared" si="23"/>
        <v>30</v>
      </c>
      <c r="AW82" s="1">
        <f t="shared" si="31"/>
        <v>5.4545454545454541</v>
      </c>
      <c r="AX82" s="2">
        <v>3</v>
      </c>
      <c r="AY82" s="2"/>
      <c r="AZ82" s="2"/>
      <c r="BA82" s="2">
        <f t="shared" si="25"/>
        <v>3</v>
      </c>
      <c r="BB82" s="2">
        <f t="shared" si="26"/>
        <v>3</v>
      </c>
      <c r="BC82" s="2">
        <v>1</v>
      </c>
      <c r="BD82" s="2">
        <v>1</v>
      </c>
      <c r="BE82" s="2">
        <v>9</v>
      </c>
      <c r="BF82" s="4">
        <f t="shared" si="27"/>
        <v>9</v>
      </c>
      <c r="BG82" s="2">
        <v>2</v>
      </c>
      <c r="BH82" s="5">
        <f t="shared" si="28"/>
        <v>2</v>
      </c>
      <c r="BI82" s="2">
        <v>0</v>
      </c>
      <c r="BJ82" s="2">
        <v>7</v>
      </c>
      <c r="BK82" s="2">
        <v>0</v>
      </c>
      <c r="BL82" t="s">
        <v>83</v>
      </c>
      <c r="BM82" s="2">
        <f t="shared" si="29"/>
        <v>1</v>
      </c>
      <c r="BN82" s="2">
        <v>0</v>
      </c>
      <c r="BO82" s="2">
        <v>99997</v>
      </c>
      <c r="BP82" s="2">
        <v>1</v>
      </c>
      <c r="BQ82" s="2">
        <v>97</v>
      </c>
      <c r="BR82" s="2">
        <v>1</v>
      </c>
      <c r="BS82" s="2">
        <v>0</v>
      </c>
      <c r="BT82" s="2">
        <v>97</v>
      </c>
      <c r="BU82" s="2">
        <v>1</v>
      </c>
      <c r="BV82" s="2">
        <v>1</v>
      </c>
      <c r="BW82" s="2">
        <v>0</v>
      </c>
      <c r="BX82" s="2">
        <v>0</v>
      </c>
      <c r="BY82" s="2">
        <v>1</v>
      </c>
      <c r="BZ82" s="2">
        <v>0</v>
      </c>
      <c r="CA82" s="2">
        <v>0</v>
      </c>
      <c r="CB82" s="2">
        <v>0</v>
      </c>
      <c r="CC82" s="2">
        <v>1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97</v>
      </c>
      <c r="CL82" s="2" t="s">
        <v>102</v>
      </c>
      <c r="CM82" s="2">
        <v>6</v>
      </c>
      <c r="CN82" s="2">
        <v>4</v>
      </c>
      <c r="CO82" s="2">
        <v>5</v>
      </c>
    </row>
    <row r="83" spans="1:93">
      <c r="A83">
        <v>32</v>
      </c>
      <c r="B83" t="s">
        <v>85</v>
      </c>
      <c r="C83" s="2">
        <v>4</v>
      </c>
      <c r="D83" s="2" t="s">
        <v>176</v>
      </c>
      <c r="E83">
        <v>97</v>
      </c>
      <c r="F83" s="2">
        <v>0</v>
      </c>
      <c r="G83" s="2">
        <v>1</v>
      </c>
      <c r="H83" s="2">
        <v>7</v>
      </c>
      <c r="I83" s="2">
        <f t="shared" si="20"/>
        <v>6.6</v>
      </c>
      <c r="J83" s="2">
        <f t="shared" si="21"/>
        <v>0.3</v>
      </c>
      <c r="K83" s="4">
        <v>0.3</v>
      </c>
      <c r="L83" s="2">
        <v>6</v>
      </c>
      <c r="M83" s="2">
        <v>0</v>
      </c>
      <c r="N83" s="2">
        <v>3</v>
      </c>
      <c r="O83" s="2">
        <v>0</v>
      </c>
      <c r="P83" s="2">
        <v>0</v>
      </c>
      <c r="Q83" s="2">
        <v>0</v>
      </c>
      <c r="R83" s="2">
        <v>0</v>
      </c>
      <c r="S83" s="2">
        <v>1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6</v>
      </c>
      <c r="AD83" s="2">
        <v>97</v>
      </c>
      <c r="AE83" s="2">
        <v>97</v>
      </c>
      <c r="AF83" s="2">
        <v>97</v>
      </c>
      <c r="AG83" s="2">
        <v>97</v>
      </c>
      <c r="AH83" s="2">
        <v>97</v>
      </c>
      <c r="AI83" s="2">
        <v>97</v>
      </c>
      <c r="AJ83" s="2">
        <v>97</v>
      </c>
      <c r="AK83" s="2">
        <v>97</v>
      </c>
      <c r="AL83" s="2">
        <v>97</v>
      </c>
      <c r="AM83" s="2">
        <v>97</v>
      </c>
      <c r="AN83" s="2">
        <v>97</v>
      </c>
      <c r="AO83" s="2">
        <v>97</v>
      </c>
      <c r="AP83" s="2">
        <v>1</v>
      </c>
      <c r="AQ83" s="2">
        <v>6</v>
      </c>
      <c r="AR83" s="2">
        <v>60</v>
      </c>
      <c r="AS83" s="2"/>
      <c r="AT83" s="2"/>
      <c r="AU83" s="2">
        <f t="shared" si="22"/>
        <v>60</v>
      </c>
      <c r="AV83" s="2">
        <f t="shared" si="23"/>
        <v>60</v>
      </c>
      <c r="AW83" s="1">
        <f t="shared" si="31"/>
        <v>10.909090909090908</v>
      </c>
      <c r="AX83" s="2">
        <v>20</v>
      </c>
      <c r="AY83" s="2"/>
      <c r="AZ83" s="2"/>
      <c r="BA83" s="2">
        <f t="shared" si="25"/>
        <v>20</v>
      </c>
      <c r="BB83" s="2">
        <f t="shared" si="26"/>
        <v>20</v>
      </c>
      <c r="BC83" s="2">
        <v>0</v>
      </c>
      <c r="BD83" s="2">
        <v>1</v>
      </c>
      <c r="BE83" s="2">
        <v>3</v>
      </c>
      <c r="BF83" s="4">
        <f t="shared" si="27"/>
        <v>3</v>
      </c>
      <c r="BG83" s="2">
        <v>1</v>
      </c>
      <c r="BH83" s="5">
        <f t="shared" si="28"/>
        <v>0.3</v>
      </c>
      <c r="BI83" s="2">
        <v>0</v>
      </c>
      <c r="BJ83" s="2">
        <v>5</v>
      </c>
      <c r="BK83" s="2">
        <v>0</v>
      </c>
      <c r="BL83" t="s">
        <v>83</v>
      </c>
      <c r="BM83" s="2">
        <f t="shared" si="29"/>
        <v>1</v>
      </c>
      <c r="BN83" s="2">
        <v>0</v>
      </c>
      <c r="BO83" s="2">
        <v>99997</v>
      </c>
      <c r="BP83" s="2">
        <v>1</v>
      </c>
      <c r="BQ83" s="2">
        <v>97</v>
      </c>
      <c r="BR83" s="2">
        <v>1</v>
      </c>
      <c r="BS83" s="2">
        <v>1</v>
      </c>
      <c r="BT83" s="2">
        <v>1</v>
      </c>
      <c r="BU83" s="2">
        <v>0</v>
      </c>
      <c r="BV83" s="2">
        <v>0</v>
      </c>
      <c r="BW83" s="2">
        <v>1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>
        <v>0</v>
      </c>
      <c r="CJ83" s="2">
        <v>0</v>
      </c>
      <c r="CK83" s="2">
        <v>97</v>
      </c>
      <c r="CL83" s="2">
        <v>97</v>
      </c>
      <c r="CM83" s="2">
        <v>98</v>
      </c>
      <c r="CN83" s="2">
        <v>5</v>
      </c>
      <c r="CO83" s="2">
        <v>4</v>
      </c>
    </row>
    <row r="84" spans="1:93">
      <c r="A84">
        <v>30</v>
      </c>
      <c r="B84" t="s">
        <v>81</v>
      </c>
      <c r="C84" s="2">
        <v>7</v>
      </c>
      <c r="D84" s="2" t="s">
        <v>175</v>
      </c>
      <c r="E84" t="s">
        <v>100</v>
      </c>
      <c r="F84" s="2">
        <v>1</v>
      </c>
      <c r="G84" s="2">
        <v>0</v>
      </c>
      <c r="H84" s="2">
        <v>8</v>
      </c>
      <c r="I84" s="2">
        <f t="shared" si="20"/>
        <v>2.0019999999999998</v>
      </c>
      <c r="J84" s="2">
        <f t="shared" si="21"/>
        <v>9.0999999999999984E-2</v>
      </c>
      <c r="K84" s="4">
        <v>9.0999999999999998E-2</v>
      </c>
      <c r="L84" s="2">
        <v>6</v>
      </c>
      <c r="M84" s="2">
        <v>0</v>
      </c>
      <c r="N84" s="2">
        <v>3</v>
      </c>
      <c r="O84" s="2">
        <v>0</v>
      </c>
      <c r="P84" s="2">
        <v>0</v>
      </c>
      <c r="Q84" s="2">
        <v>0</v>
      </c>
      <c r="R84" s="2">
        <v>0</v>
      </c>
      <c r="S84" s="2">
        <v>1</v>
      </c>
      <c r="T84" s="2">
        <v>1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1</v>
      </c>
      <c r="AC84" s="2">
        <v>6</v>
      </c>
      <c r="AD84" s="2">
        <v>97</v>
      </c>
      <c r="AE84" s="2">
        <v>97</v>
      </c>
      <c r="AF84" s="2">
        <v>97</v>
      </c>
      <c r="AG84" s="2">
        <v>97</v>
      </c>
      <c r="AH84" s="2">
        <v>97</v>
      </c>
      <c r="AI84" s="2">
        <v>97</v>
      </c>
      <c r="AJ84" s="2">
        <v>97</v>
      </c>
      <c r="AK84" s="2">
        <v>97</v>
      </c>
      <c r="AL84" s="2">
        <v>97</v>
      </c>
      <c r="AM84" s="2">
        <v>97</v>
      </c>
      <c r="AN84" s="2">
        <v>97</v>
      </c>
      <c r="AO84" s="2">
        <v>97</v>
      </c>
      <c r="AP84" s="2">
        <v>1</v>
      </c>
      <c r="AQ84" s="2">
        <v>5</v>
      </c>
      <c r="AR84" s="2"/>
      <c r="AS84" s="2">
        <v>2</v>
      </c>
      <c r="AT84" s="2"/>
      <c r="AU84" s="2">
        <f t="shared" si="22"/>
        <v>666</v>
      </c>
      <c r="AV84" s="2">
        <f t="shared" si="23"/>
        <v>666</v>
      </c>
      <c r="AW84" s="1">
        <f t="shared" si="31"/>
        <v>121.09090909090909</v>
      </c>
      <c r="AX84" s="2"/>
      <c r="AY84" s="2">
        <v>1</v>
      </c>
      <c r="AZ84" s="2"/>
      <c r="BA84" s="2">
        <f t="shared" si="25"/>
        <v>333</v>
      </c>
      <c r="BB84" s="2">
        <f t="shared" si="26"/>
        <v>333</v>
      </c>
      <c r="BC84" s="2">
        <v>0</v>
      </c>
      <c r="BD84" s="2">
        <v>1</v>
      </c>
      <c r="BE84" s="2">
        <v>99</v>
      </c>
      <c r="BF84" s="4">
        <f t="shared" si="27"/>
        <v>0</v>
      </c>
      <c r="BG84" s="2">
        <v>12</v>
      </c>
      <c r="BH84" s="5">
        <f t="shared" si="28"/>
        <v>1.0919999999999999</v>
      </c>
      <c r="BI84" s="2">
        <v>1</v>
      </c>
      <c r="BJ84" s="2">
        <v>3</v>
      </c>
      <c r="BK84" s="2">
        <v>0</v>
      </c>
      <c r="BL84" t="s">
        <v>83</v>
      </c>
      <c r="BM84" s="2">
        <f t="shared" si="29"/>
        <v>1</v>
      </c>
      <c r="BN84" s="2">
        <v>0</v>
      </c>
      <c r="BO84" s="2">
        <v>99997</v>
      </c>
      <c r="BP84" s="2">
        <v>2</v>
      </c>
      <c r="BQ84" s="2">
        <v>97</v>
      </c>
      <c r="BR84" s="2">
        <v>1</v>
      </c>
      <c r="BS84" s="2">
        <v>0</v>
      </c>
      <c r="BT84" s="2">
        <v>97</v>
      </c>
      <c r="BU84" s="2">
        <v>1</v>
      </c>
      <c r="BV84" s="2">
        <v>1</v>
      </c>
      <c r="BW84" s="2">
        <v>0</v>
      </c>
      <c r="BX84" s="2">
        <v>1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>
        <v>0</v>
      </c>
      <c r="CJ84" s="2">
        <v>0</v>
      </c>
      <c r="CK84" s="2">
        <v>97</v>
      </c>
      <c r="CL84" s="2">
        <v>97</v>
      </c>
      <c r="CM84" s="2">
        <v>98</v>
      </c>
      <c r="CN84" s="2">
        <v>99</v>
      </c>
      <c r="CO84" s="2">
        <v>99</v>
      </c>
    </row>
    <row r="85" spans="1:93">
      <c r="A85">
        <v>29</v>
      </c>
      <c r="B85" t="s">
        <v>85</v>
      </c>
      <c r="C85" s="2">
        <v>97</v>
      </c>
      <c r="D85" s="2" t="s">
        <v>168</v>
      </c>
      <c r="E85" t="s">
        <v>99</v>
      </c>
      <c r="F85" s="2">
        <v>1</v>
      </c>
      <c r="G85" s="2">
        <v>0</v>
      </c>
      <c r="H85" s="2">
        <v>5</v>
      </c>
      <c r="I85" s="2">
        <f t="shared" si="20"/>
        <v>22</v>
      </c>
      <c r="J85" s="2">
        <f t="shared" si="21"/>
        <v>1</v>
      </c>
      <c r="K85" s="4">
        <v>1</v>
      </c>
      <c r="L85" s="2">
        <v>6</v>
      </c>
      <c r="M85" s="2">
        <v>0</v>
      </c>
      <c r="N85" s="2">
        <v>3</v>
      </c>
      <c r="O85" s="2">
        <v>0</v>
      </c>
      <c r="P85" s="2">
        <v>0</v>
      </c>
      <c r="Q85" s="2">
        <v>0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1</v>
      </c>
      <c r="AC85" s="2">
        <v>6</v>
      </c>
      <c r="AD85" s="2">
        <v>97</v>
      </c>
      <c r="AE85" s="2">
        <v>97</v>
      </c>
      <c r="AF85" s="2">
        <v>97</v>
      </c>
      <c r="AG85" s="2">
        <v>97</v>
      </c>
      <c r="AH85" s="2">
        <v>97</v>
      </c>
      <c r="AI85" s="2">
        <v>97</v>
      </c>
      <c r="AJ85" s="2">
        <v>97</v>
      </c>
      <c r="AK85" s="2">
        <v>97</v>
      </c>
      <c r="AL85" s="2">
        <v>97</v>
      </c>
      <c r="AM85" s="2">
        <v>97</v>
      </c>
      <c r="AN85" s="2">
        <v>97</v>
      </c>
      <c r="AO85" s="2">
        <v>97</v>
      </c>
      <c r="AP85" s="2">
        <v>1</v>
      </c>
      <c r="AQ85" s="2">
        <v>6</v>
      </c>
      <c r="AR85" s="2"/>
      <c r="AS85" s="2">
        <v>4</v>
      </c>
      <c r="AT85" s="2"/>
      <c r="AU85" s="2">
        <f t="shared" si="22"/>
        <v>1332</v>
      </c>
      <c r="AV85" s="2">
        <f t="shared" si="23"/>
        <v>1332</v>
      </c>
      <c r="AW85" s="1">
        <f t="shared" si="31"/>
        <v>242.18181818181819</v>
      </c>
      <c r="AX85" s="2">
        <v>100</v>
      </c>
      <c r="AY85" s="2"/>
      <c r="AZ85" s="2"/>
      <c r="BA85" s="2">
        <f t="shared" si="25"/>
        <v>100</v>
      </c>
      <c r="BB85" s="2">
        <f t="shared" si="26"/>
        <v>100</v>
      </c>
      <c r="BC85" s="2">
        <v>0</v>
      </c>
      <c r="BD85" s="2">
        <v>1</v>
      </c>
      <c r="BE85" s="2">
        <v>25</v>
      </c>
      <c r="BF85" s="4">
        <f t="shared" si="27"/>
        <v>25</v>
      </c>
      <c r="BG85" s="2">
        <v>5</v>
      </c>
      <c r="BH85" s="5">
        <f t="shared" si="28"/>
        <v>5</v>
      </c>
      <c r="BI85" s="2">
        <v>0</v>
      </c>
      <c r="BJ85" s="2">
        <v>4</v>
      </c>
      <c r="BK85" s="2">
        <v>0</v>
      </c>
      <c r="BL85" t="s">
        <v>83</v>
      </c>
      <c r="BM85" s="2">
        <f t="shared" si="29"/>
        <v>1</v>
      </c>
      <c r="BN85" s="2">
        <v>1</v>
      </c>
      <c r="BO85" s="2">
        <v>20</v>
      </c>
      <c r="BP85" s="2">
        <v>2</v>
      </c>
      <c r="BQ85" s="2">
        <v>97</v>
      </c>
      <c r="BR85" s="2">
        <v>1</v>
      </c>
      <c r="BS85" s="2">
        <v>0</v>
      </c>
      <c r="BT85" s="2">
        <v>97</v>
      </c>
      <c r="BU85" s="2">
        <v>1</v>
      </c>
      <c r="BV85" s="2">
        <v>1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>
        <v>0</v>
      </c>
      <c r="CJ85" s="2">
        <v>0</v>
      </c>
      <c r="CK85" s="2" t="s">
        <v>92</v>
      </c>
      <c r="CL85" s="2">
        <v>97</v>
      </c>
      <c r="CM85" s="2">
        <v>98</v>
      </c>
      <c r="CN85" s="2">
        <v>4</v>
      </c>
      <c r="CO85" s="2">
        <v>3</v>
      </c>
    </row>
    <row r="86" spans="1:93">
      <c r="A86">
        <v>28</v>
      </c>
      <c r="B86" t="s">
        <v>85</v>
      </c>
      <c r="C86" s="2">
        <v>7</v>
      </c>
      <c r="D86" s="2" t="s">
        <v>175</v>
      </c>
      <c r="E86">
        <v>97</v>
      </c>
      <c r="F86" s="2">
        <v>1</v>
      </c>
      <c r="G86" s="2">
        <v>0</v>
      </c>
      <c r="H86" s="2">
        <v>4</v>
      </c>
      <c r="I86" s="2">
        <f t="shared" si="20"/>
        <v>55</v>
      </c>
      <c r="J86" s="2">
        <f t="shared" si="21"/>
        <v>2.5</v>
      </c>
      <c r="K86" s="4">
        <v>1</v>
      </c>
      <c r="L86" s="2">
        <v>6</v>
      </c>
      <c r="M86" s="2">
        <v>0</v>
      </c>
      <c r="N86" s="2">
        <v>3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1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1</v>
      </c>
      <c r="AC86" s="2">
        <v>4</v>
      </c>
      <c r="AD86" s="2">
        <v>0</v>
      </c>
      <c r="AE86" s="2">
        <v>0</v>
      </c>
      <c r="AF86" s="2">
        <v>0</v>
      </c>
      <c r="AG86" s="2">
        <v>1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1</v>
      </c>
      <c r="AQ86" s="2">
        <v>6</v>
      </c>
      <c r="AR86" s="2"/>
      <c r="AS86" s="2">
        <v>2</v>
      </c>
      <c r="AT86" s="2"/>
      <c r="AU86" s="2">
        <f t="shared" si="22"/>
        <v>666</v>
      </c>
      <c r="AV86" s="2">
        <f t="shared" si="23"/>
        <v>666</v>
      </c>
      <c r="AW86" s="1">
        <f t="shared" si="31"/>
        <v>121.09090909090909</v>
      </c>
      <c r="AX86" s="2">
        <v>120</v>
      </c>
      <c r="AY86" s="2"/>
      <c r="AZ86" s="2"/>
      <c r="BA86" s="2">
        <f t="shared" si="25"/>
        <v>120</v>
      </c>
      <c r="BB86" s="2">
        <f t="shared" si="26"/>
        <v>120</v>
      </c>
      <c r="BC86" s="2">
        <v>0</v>
      </c>
      <c r="BD86" s="2">
        <v>1</v>
      </c>
      <c r="BE86" s="2">
        <v>15</v>
      </c>
      <c r="BF86" s="4">
        <f t="shared" si="27"/>
        <v>15</v>
      </c>
      <c r="BG86" s="2">
        <v>6</v>
      </c>
      <c r="BH86" s="5">
        <f t="shared" si="28"/>
        <v>15</v>
      </c>
      <c r="BI86" s="2">
        <v>0</v>
      </c>
      <c r="BJ86" s="2">
        <v>4</v>
      </c>
      <c r="BK86" s="2">
        <v>0</v>
      </c>
      <c r="BL86" t="s">
        <v>83</v>
      </c>
      <c r="BM86" s="2">
        <f t="shared" si="29"/>
        <v>1</v>
      </c>
      <c r="BN86" s="2">
        <v>1</v>
      </c>
      <c r="BO86" s="2">
        <v>20</v>
      </c>
      <c r="BP86" s="2">
        <v>2</v>
      </c>
      <c r="BQ86" s="2">
        <v>97</v>
      </c>
      <c r="BR86" s="2">
        <v>1</v>
      </c>
      <c r="BS86" s="2">
        <v>0</v>
      </c>
      <c r="BT86" s="2">
        <v>97</v>
      </c>
      <c r="BU86" s="2">
        <v>1</v>
      </c>
      <c r="BV86" s="2">
        <v>1</v>
      </c>
      <c r="BW86" s="2">
        <v>0</v>
      </c>
      <c r="BX86" s="2">
        <v>1</v>
      </c>
      <c r="BY86" s="2">
        <v>1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0</v>
      </c>
      <c r="CI86" s="2">
        <v>0</v>
      </c>
      <c r="CJ86" s="2">
        <v>0</v>
      </c>
      <c r="CK86" s="2">
        <v>97</v>
      </c>
      <c r="CL86" s="2">
        <v>97</v>
      </c>
      <c r="CM86" s="2">
        <v>98</v>
      </c>
      <c r="CN86" s="2">
        <v>6</v>
      </c>
      <c r="CO86" s="2">
        <v>4</v>
      </c>
    </row>
    <row r="87" spans="1:93">
      <c r="A87">
        <v>27</v>
      </c>
      <c r="B87" t="s">
        <v>85</v>
      </c>
      <c r="C87" s="2">
        <v>8</v>
      </c>
      <c r="D87" s="2" t="s">
        <v>161</v>
      </c>
      <c r="E87">
        <v>97</v>
      </c>
      <c r="F87" s="2">
        <v>1</v>
      </c>
      <c r="G87" s="2">
        <v>0</v>
      </c>
      <c r="H87" s="2">
        <v>6</v>
      </c>
      <c r="I87" s="2">
        <f t="shared" si="20"/>
        <v>16.5</v>
      </c>
      <c r="J87" s="2">
        <f t="shared" si="21"/>
        <v>0.75</v>
      </c>
      <c r="K87" s="4">
        <v>0.75</v>
      </c>
      <c r="L87" s="2">
        <v>7</v>
      </c>
      <c r="M87" s="2">
        <v>1</v>
      </c>
      <c r="N87" s="2">
        <v>3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1</v>
      </c>
      <c r="V87" s="2">
        <v>1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1</v>
      </c>
      <c r="AC87" s="2">
        <v>6</v>
      </c>
      <c r="AD87" s="2">
        <v>97</v>
      </c>
      <c r="AE87" s="2">
        <v>97</v>
      </c>
      <c r="AF87" s="2">
        <v>97</v>
      </c>
      <c r="AG87" s="2">
        <v>97</v>
      </c>
      <c r="AH87" s="2">
        <v>97</v>
      </c>
      <c r="AI87" s="2">
        <v>97</v>
      </c>
      <c r="AJ87" s="2">
        <v>97</v>
      </c>
      <c r="AK87" s="2">
        <v>97</v>
      </c>
      <c r="AL87" s="2">
        <v>97</v>
      </c>
      <c r="AM87" s="2">
        <v>97</v>
      </c>
      <c r="AN87" s="2">
        <v>97</v>
      </c>
      <c r="AO87" s="2">
        <v>97</v>
      </c>
      <c r="AP87" s="2">
        <v>1</v>
      </c>
      <c r="AQ87" s="2">
        <v>6</v>
      </c>
      <c r="AR87" s="2"/>
      <c r="AS87" s="2">
        <v>1</v>
      </c>
      <c r="AT87" s="2"/>
      <c r="AU87" s="2">
        <f t="shared" si="22"/>
        <v>333</v>
      </c>
      <c r="AV87" s="2">
        <f t="shared" si="23"/>
        <v>333</v>
      </c>
      <c r="AW87" s="1">
        <f t="shared" si="31"/>
        <v>60.545454545454547</v>
      </c>
      <c r="AX87" s="2">
        <v>20</v>
      </c>
      <c r="AY87" s="2"/>
      <c r="AZ87" s="2"/>
      <c r="BA87" s="2">
        <f t="shared" si="25"/>
        <v>20</v>
      </c>
      <c r="BB87" s="2">
        <f t="shared" si="26"/>
        <v>20</v>
      </c>
      <c r="BC87" s="2">
        <v>0</v>
      </c>
      <c r="BD87" s="2">
        <v>99</v>
      </c>
      <c r="BE87" s="2">
        <v>12</v>
      </c>
      <c r="BF87" s="4">
        <f t="shared" si="27"/>
        <v>12</v>
      </c>
      <c r="BG87" s="2">
        <v>3</v>
      </c>
      <c r="BH87" s="5">
        <f t="shared" si="28"/>
        <v>2.25</v>
      </c>
      <c r="BI87" s="2">
        <v>0</v>
      </c>
      <c r="BJ87" s="2">
        <v>4</v>
      </c>
      <c r="BK87" s="2">
        <v>0</v>
      </c>
      <c r="BL87" t="s">
        <v>83</v>
      </c>
      <c r="BM87" s="2">
        <f t="shared" si="29"/>
        <v>1</v>
      </c>
      <c r="BN87" s="2">
        <v>0</v>
      </c>
      <c r="BO87" s="2">
        <v>99997</v>
      </c>
      <c r="BP87" s="2">
        <v>1</v>
      </c>
      <c r="BQ87" s="2">
        <v>97</v>
      </c>
      <c r="BR87" s="2">
        <v>1</v>
      </c>
      <c r="BS87" s="2">
        <v>0</v>
      </c>
      <c r="BT87" s="2">
        <v>97</v>
      </c>
      <c r="BU87" s="2">
        <v>1</v>
      </c>
      <c r="BV87" s="2">
        <v>1</v>
      </c>
      <c r="BW87" s="2">
        <v>0</v>
      </c>
      <c r="BX87" s="2">
        <v>1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>
        <v>0</v>
      </c>
      <c r="CJ87" s="2">
        <v>0</v>
      </c>
      <c r="CK87" s="2">
        <v>97</v>
      </c>
      <c r="CL87" s="2">
        <v>97</v>
      </c>
      <c r="CM87" s="2">
        <v>4</v>
      </c>
      <c r="CN87" s="2">
        <v>6</v>
      </c>
      <c r="CO87" s="2">
        <v>4</v>
      </c>
    </row>
    <row r="88" spans="1:93">
      <c r="A88">
        <v>26</v>
      </c>
      <c r="B88" t="s">
        <v>85</v>
      </c>
      <c r="C88" s="2">
        <v>7</v>
      </c>
      <c r="D88" s="2" t="s">
        <v>175</v>
      </c>
      <c r="E88">
        <v>97</v>
      </c>
      <c r="F88" s="2">
        <v>1</v>
      </c>
      <c r="G88" s="2">
        <v>0</v>
      </c>
      <c r="H88" s="2">
        <v>5</v>
      </c>
      <c r="I88" s="2">
        <f t="shared" si="20"/>
        <v>22</v>
      </c>
      <c r="J88" s="2">
        <f t="shared" si="21"/>
        <v>1</v>
      </c>
      <c r="K88" s="4">
        <v>1</v>
      </c>
      <c r="L88" s="2">
        <v>5</v>
      </c>
      <c r="M88" s="2">
        <v>0</v>
      </c>
      <c r="N88" s="2">
        <v>3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98</v>
      </c>
      <c r="AB88" s="2">
        <v>1</v>
      </c>
      <c r="AC88" s="2">
        <v>6</v>
      </c>
      <c r="AD88" s="2">
        <v>97</v>
      </c>
      <c r="AE88" s="2">
        <v>97</v>
      </c>
      <c r="AF88" s="2">
        <v>97</v>
      </c>
      <c r="AG88" s="2">
        <v>97</v>
      </c>
      <c r="AH88" s="2">
        <v>97</v>
      </c>
      <c r="AI88" s="2">
        <v>97</v>
      </c>
      <c r="AJ88" s="2">
        <v>97</v>
      </c>
      <c r="AK88" s="2">
        <v>97</v>
      </c>
      <c r="AL88" s="2">
        <v>97</v>
      </c>
      <c r="AM88" s="2">
        <v>97</v>
      </c>
      <c r="AN88" s="2">
        <v>97</v>
      </c>
      <c r="AO88" s="2">
        <v>97</v>
      </c>
      <c r="AP88" s="2">
        <v>1</v>
      </c>
      <c r="AQ88" s="2">
        <v>4</v>
      </c>
      <c r="AR88" s="2"/>
      <c r="AS88" s="2"/>
      <c r="AT88" s="2">
        <v>0.5</v>
      </c>
      <c r="AU88" s="2">
        <f t="shared" si="22"/>
        <v>166.5</v>
      </c>
      <c r="AV88" s="2">
        <f t="shared" si="23"/>
        <v>166.5</v>
      </c>
      <c r="AW88" s="1">
        <f t="shared" si="31"/>
        <v>30.272727272727273</v>
      </c>
      <c r="AX88" s="2">
        <v>20</v>
      </c>
      <c r="AY88" s="2"/>
      <c r="AZ88" s="2"/>
      <c r="BA88" s="2">
        <f t="shared" si="25"/>
        <v>20</v>
      </c>
      <c r="BB88" s="2">
        <f t="shared" si="26"/>
        <v>20</v>
      </c>
      <c r="BC88" s="2">
        <v>0</v>
      </c>
      <c r="BD88" s="2">
        <v>1</v>
      </c>
      <c r="BE88" s="2">
        <v>20</v>
      </c>
      <c r="BF88" s="4">
        <f t="shared" si="27"/>
        <v>20</v>
      </c>
      <c r="BG88" s="2">
        <v>4</v>
      </c>
      <c r="BH88" s="5">
        <f t="shared" si="28"/>
        <v>4</v>
      </c>
      <c r="BI88" s="2">
        <v>0</v>
      </c>
      <c r="BJ88" s="2">
        <v>4</v>
      </c>
      <c r="BK88" s="2">
        <v>0</v>
      </c>
      <c r="BL88" t="s">
        <v>83</v>
      </c>
      <c r="BM88" s="2">
        <f t="shared" si="29"/>
        <v>1</v>
      </c>
      <c r="BN88" s="2">
        <v>0</v>
      </c>
      <c r="BO88" s="2">
        <v>99997</v>
      </c>
      <c r="BP88" s="2">
        <v>2</v>
      </c>
      <c r="BQ88" s="2">
        <v>97</v>
      </c>
      <c r="BR88" s="2">
        <v>1</v>
      </c>
      <c r="BS88" s="2">
        <v>0</v>
      </c>
      <c r="BT88" s="2">
        <v>97</v>
      </c>
      <c r="BU88" s="2">
        <v>1</v>
      </c>
      <c r="BV88" s="2">
        <v>1</v>
      </c>
      <c r="BW88" s="2">
        <v>0</v>
      </c>
      <c r="BX88" s="2">
        <v>1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97</v>
      </c>
      <c r="CL88" s="2">
        <v>97</v>
      </c>
      <c r="CM88" s="2">
        <v>99</v>
      </c>
      <c r="CN88" s="2">
        <v>99</v>
      </c>
      <c r="CO88" s="2">
        <v>99</v>
      </c>
    </row>
    <row r="89" spans="1:93">
      <c r="A89">
        <v>25</v>
      </c>
      <c r="B89" t="s">
        <v>85</v>
      </c>
      <c r="C89" s="2">
        <v>7</v>
      </c>
      <c r="D89" s="2" t="s">
        <v>175</v>
      </c>
      <c r="E89">
        <v>97</v>
      </c>
      <c r="F89" s="2">
        <v>1</v>
      </c>
      <c r="G89" s="2">
        <v>1</v>
      </c>
      <c r="H89" s="2">
        <v>4</v>
      </c>
      <c r="I89" s="2">
        <f t="shared" si="20"/>
        <v>55</v>
      </c>
      <c r="J89" s="2">
        <f t="shared" si="21"/>
        <v>2.5</v>
      </c>
      <c r="K89" s="4">
        <v>1</v>
      </c>
      <c r="L89" s="2">
        <v>4</v>
      </c>
      <c r="M89" s="2">
        <v>0</v>
      </c>
      <c r="N89" s="2">
        <v>3</v>
      </c>
      <c r="O89" s="2">
        <v>0</v>
      </c>
      <c r="P89" s="2">
        <v>0</v>
      </c>
      <c r="Q89" s="2">
        <v>0</v>
      </c>
      <c r="R89" s="2">
        <v>0</v>
      </c>
      <c r="S89" s="2">
        <v>1</v>
      </c>
      <c r="T89" s="2">
        <v>1</v>
      </c>
      <c r="U89" s="2">
        <v>1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1</v>
      </c>
      <c r="AC89" s="2">
        <v>5</v>
      </c>
      <c r="AD89" s="2">
        <v>97</v>
      </c>
      <c r="AE89" s="2">
        <v>97</v>
      </c>
      <c r="AF89" s="2">
        <v>97</v>
      </c>
      <c r="AG89" s="2">
        <v>97</v>
      </c>
      <c r="AH89" s="2">
        <v>97</v>
      </c>
      <c r="AI89" s="2">
        <v>97</v>
      </c>
      <c r="AJ89" s="2">
        <v>97</v>
      </c>
      <c r="AK89" s="2">
        <v>97</v>
      </c>
      <c r="AL89" s="2">
        <v>97</v>
      </c>
      <c r="AM89" s="2">
        <v>97</v>
      </c>
      <c r="AN89" s="2">
        <v>97</v>
      </c>
      <c r="AO89" s="2">
        <v>97</v>
      </c>
      <c r="AP89" s="2">
        <v>1</v>
      </c>
      <c r="AQ89" s="2">
        <v>3</v>
      </c>
      <c r="AR89" s="2"/>
      <c r="AS89" s="2">
        <v>2</v>
      </c>
      <c r="AT89" s="2"/>
      <c r="AU89" s="2">
        <f t="shared" si="22"/>
        <v>666</v>
      </c>
      <c r="AV89" s="2">
        <f t="shared" si="23"/>
        <v>666</v>
      </c>
      <c r="AW89" s="1">
        <f t="shared" si="31"/>
        <v>121.09090909090909</v>
      </c>
      <c r="AX89" s="2">
        <v>20</v>
      </c>
      <c r="AY89" s="2"/>
      <c r="AZ89" s="2"/>
      <c r="BA89" s="2">
        <f t="shared" si="25"/>
        <v>20</v>
      </c>
      <c r="BB89" s="2">
        <f t="shared" si="26"/>
        <v>20</v>
      </c>
      <c r="BC89" s="2">
        <v>0</v>
      </c>
      <c r="BD89" s="2">
        <v>1</v>
      </c>
      <c r="BE89" s="2">
        <v>20</v>
      </c>
      <c r="BF89" s="4">
        <f t="shared" si="27"/>
        <v>20</v>
      </c>
      <c r="BG89" s="2">
        <v>8</v>
      </c>
      <c r="BH89" s="5">
        <f t="shared" si="28"/>
        <v>20</v>
      </c>
      <c r="BI89" s="2">
        <v>0</v>
      </c>
      <c r="BJ89" s="2">
        <v>4</v>
      </c>
      <c r="BK89" s="2">
        <v>0</v>
      </c>
      <c r="BL89" t="s">
        <v>83</v>
      </c>
      <c r="BM89" s="2">
        <f t="shared" si="29"/>
        <v>1</v>
      </c>
      <c r="BN89" s="2">
        <v>0</v>
      </c>
      <c r="BO89" s="2">
        <v>99997</v>
      </c>
      <c r="BP89" s="2">
        <v>1</v>
      </c>
      <c r="BQ89" s="2">
        <v>97</v>
      </c>
      <c r="BR89" s="2">
        <v>1</v>
      </c>
      <c r="BS89" s="2">
        <v>0</v>
      </c>
      <c r="BT89" s="2">
        <v>97</v>
      </c>
      <c r="BU89" s="2">
        <v>1</v>
      </c>
      <c r="BV89" s="2">
        <v>1</v>
      </c>
      <c r="BW89" s="2">
        <v>1</v>
      </c>
      <c r="BX89" s="2">
        <v>1</v>
      </c>
      <c r="BY89" s="2">
        <v>0</v>
      </c>
      <c r="BZ89" s="2">
        <v>0</v>
      </c>
      <c r="CA89" s="2">
        <v>0</v>
      </c>
      <c r="CB89" s="2">
        <v>0</v>
      </c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>
        <v>0</v>
      </c>
      <c r="CJ89" s="2">
        <v>0</v>
      </c>
      <c r="CK89" s="2">
        <v>97</v>
      </c>
      <c r="CL89" s="2">
        <v>97</v>
      </c>
      <c r="CM89" s="2">
        <v>98</v>
      </c>
      <c r="CN89" s="2">
        <v>6</v>
      </c>
      <c r="CO89" s="2">
        <v>4</v>
      </c>
    </row>
    <row r="90" spans="1:93">
      <c r="A90">
        <v>24</v>
      </c>
      <c r="B90" t="s">
        <v>98</v>
      </c>
      <c r="C90" s="2">
        <v>7</v>
      </c>
      <c r="D90" s="2" t="s">
        <v>175</v>
      </c>
      <c r="E90">
        <v>97</v>
      </c>
      <c r="F90" s="2">
        <v>0</v>
      </c>
      <c r="G90" s="2">
        <v>0</v>
      </c>
      <c r="H90" s="2">
        <v>4</v>
      </c>
      <c r="I90" s="2">
        <f t="shared" si="20"/>
        <v>55</v>
      </c>
      <c r="J90" s="2">
        <f t="shared" si="21"/>
        <v>2.5</v>
      </c>
      <c r="K90" s="4">
        <v>1</v>
      </c>
      <c r="L90" s="2">
        <v>7</v>
      </c>
      <c r="M90" s="2">
        <v>1</v>
      </c>
      <c r="N90" s="2">
        <v>3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1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1</v>
      </c>
      <c r="AC90" s="2">
        <v>7</v>
      </c>
      <c r="AD90" s="2">
        <v>97</v>
      </c>
      <c r="AE90" s="2">
        <v>97</v>
      </c>
      <c r="AF90" s="2">
        <v>97</v>
      </c>
      <c r="AG90" s="2">
        <v>97</v>
      </c>
      <c r="AH90" s="2">
        <v>97</v>
      </c>
      <c r="AI90" s="2">
        <v>97</v>
      </c>
      <c r="AJ90" s="2">
        <v>97</v>
      </c>
      <c r="AK90" s="2">
        <v>97</v>
      </c>
      <c r="AL90" s="2">
        <v>97</v>
      </c>
      <c r="AM90" s="2">
        <v>97</v>
      </c>
      <c r="AN90" s="2">
        <v>97</v>
      </c>
      <c r="AO90" s="2">
        <v>97</v>
      </c>
      <c r="AP90" s="2">
        <v>1</v>
      </c>
      <c r="AQ90" s="2">
        <v>2</v>
      </c>
      <c r="AR90" s="2"/>
      <c r="AS90" s="2">
        <v>5</v>
      </c>
      <c r="AT90" s="2"/>
      <c r="AU90" s="2">
        <f t="shared" si="22"/>
        <v>1665</v>
      </c>
      <c r="AV90" s="2">
        <f t="shared" si="23"/>
        <v>1665</v>
      </c>
      <c r="AW90" s="1">
        <f t="shared" si="31"/>
        <v>302.72727272727275</v>
      </c>
      <c r="AX90" s="2"/>
      <c r="AY90" s="2">
        <v>0.5</v>
      </c>
      <c r="AZ90" s="2"/>
      <c r="BA90" s="2">
        <f t="shared" si="25"/>
        <v>166.5</v>
      </c>
      <c r="BB90" s="2">
        <f t="shared" si="26"/>
        <v>166.5</v>
      </c>
      <c r="BC90" s="2">
        <v>0</v>
      </c>
      <c r="BD90" s="2">
        <v>1</v>
      </c>
      <c r="BE90" s="2">
        <v>40</v>
      </c>
      <c r="BF90" s="4">
        <f t="shared" si="27"/>
        <v>40</v>
      </c>
      <c r="BG90" s="2">
        <v>4</v>
      </c>
      <c r="BH90" s="5">
        <f t="shared" si="28"/>
        <v>10</v>
      </c>
      <c r="BI90" s="2">
        <v>1</v>
      </c>
      <c r="BJ90" s="2">
        <v>5</v>
      </c>
      <c r="BK90" s="2">
        <v>1</v>
      </c>
      <c r="BL90" s="3">
        <v>99</v>
      </c>
      <c r="BM90" s="2">
        <f t="shared" si="29"/>
        <v>0</v>
      </c>
      <c r="BN90" s="2">
        <v>0</v>
      </c>
      <c r="BO90" s="2">
        <v>99997</v>
      </c>
      <c r="BP90" s="2">
        <v>1</v>
      </c>
      <c r="BQ90" s="2">
        <v>97</v>
      </c>
      <c r="BR90" s="2">
        <v>1</v>
      </c>
      <c r="BS90" s="2">
        <v>0</v>
      </c>
      <c r="BT90" s="2">
        <v>97</v>
      </c>
      <c r="BU90" s="2">
        <v>1</v>
      </c>
      <c r="BV90" s="2">
        <v>1</v>
      </c>
      <c r="BW90" s="2">
        <v>1</v>
      </c>
      <c r="BX90" s="2">
        <v>0</v>
      </c>
      <c r="BY90" s="2">
        <v>1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97</v>
      </c>
      <c r="CL90" s="2">
        <v>97</v>
      </c>
      <c r="CM90" s="2">
        <v>5</v>
      </c>
      <c r="CN90" s="2">
        <v>6</v>
      </c>
      <c r="CO90" s="2">
        <v>5</v>
      </c>
    </row>
    <row r="91" spans="1:93">
      <c r="A91">
        <v>23</v>
      </c>
      <c r="B91" t="s">
        <v>91</v>
      </c>
      <c r="C91" s="2">
        <v>7</v>
      </c>
      <c r="D91" s="2" t="s">
        <v>175</v>
      </c>
      <c r="E91">
        <v>97</v>
      </c>
      <c r="F91" s="2">
        <v>0</v>
      </c>
      <c r="G91" s="2">
        <v>0</v>
      </c>
      <c r="H91" s="2">
        <v>6</v>
      </c>
      <c r="I91" s="2">
        <f t="shared" si="20"/>
        <v>16.5</v>
      </c>
      <c r="J91" s="2">
        <f t="shared" si="21"/>
        <v>0.75</v>
      </c>
      <c r="K91" s="4">
        <v>0.75</v>
      </c>
      <c r="L91" s="2">
        <v>6</v>
      </c>
      <c r="M91" s="2">
        <v>0</v>
      </c>
      <c r="N91" s="2">
        <v>3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1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1</v>
      </c>
      <c r="AC91" s="2">
        <v>6</v>
      </c>
      <c r="AD91" s="2">
        <v>97</v>
      </c>
      <c r="AE91" s="2">
        <v>97</v>
      </c>
      <c r="AF91" s="2">
        <v>97</v>
      </c>
      <c r="AG91" s="2">
        <v>97</v>
      </c>
      <c r="AH91" s="2">
        <v>97</v>
      </c>
      <c r="AI91" s="2">
        <v>97</v>
      </c>
      <c r="AJ91" s="2">
        <v>97</v>
      </c>
      <c r="AK91" s="2">
        <v>97</v>
      </c>
      <c r="AL91" s="2">
        <v>97</v>
      </c>
      <c r="AM91" s="2">
        <v>97</v>
      </c>
      <c r="AN91" s="2">
        <v>97</v>
      </c>
      <c r="AO91" s="2">
        <v>97</v>
      </c>
      <c r="AP91" s="2">
        <v>1</v>
      </c>
      <c r="AQ91" s="2">
        <v>4</v>
      </c>
      <c r="AR91" s="2"/>
      <c r="AS91" s="2">
        <v>2</v>
      </c>
      <c r="AT91" s="2"/>
      <c r="AU91" s="2">
        <f t="shared" si="22"/>
        <v>666</v>
      </c>
      <c r="AV91" s="2">
        <f t="shared" si="23"/>
        <v>666</v>
      </c>
      <c r="AW91" s="1">
        <f t="shared" si="31"/>
        <v>121.09090909090909</v>
      </c>
      <c r="AX91" s="2">
        <v>20</v>
      </c>
      <c r="AY91" s="2"/>
      <c r="AZ91" s="2"/>
      <c r="BA91" s="2">
        <f t="shared" si="25"/>
        <v>20</v>
      </c>
      <c r="BB91" s="2">
        <f t="shared" si="26"/>
        <v>20</v>
      </c>
      <c r="BC91" s="2">
        <v>0</v>
      </c>
      <c r="BD91" s="2">
        <v>1</v>
      </c>
      <c r="BE91" s="2">
        <v>15</v>
      </c>
      <c r="BF91" s="4">
        <f t="shared" si="27"/>
        <v>15</v>
      </c>
      <c r="BG91" s="2">
        <v>3</v>
      </c>
      <c r="BH91" s="5">
        <f t="shared" si="28"/>
        <v>2.25</v>
      </c>
      <c r="BI91" s="2">
        <v>1</v>
      </c>
      <c r="BJ91" s="2">
        <v>4</v>
      </c>
      <c r="BK91" s="2">
        <v>0</v>
      </c>
      <c r="BL91" t="s">
        <v>83</v>
      </c>
      <c r="BM91" s="2">
        <f t="shared" si="29"/>
        <v>1</v>
      </c>
      <c r="BN91" s="2">
        <v>0</v>
      </c>
      <c r="BO91" s="2">
        <v>99997</v>
      </c>
      <c r="BP91" s="2">
        <v>1</v>
      </c>
      <c r="BQ91" s="2">
        <v>97</v>
      </c>
      <c r="BR91" s="2">
        <v>1</v>
      </c>
      <c r="BS91" s="2">
        <v>0</v>
      </c>
      <c r="BT91" s="2">
        <v>97</v>
      </c>
      <c r="BU91" s="2">
        <v>99</v>
      </c>
      <c r="BV91" s="2">
        <v>1</v>
      </c>
      <c r="BW91" s="2">
        <v>0</v>
      </c>
      <c r="BX91" s="2">
        <v>1</v>
      </c>
      <c r="BY91" s="2">
        <v>1</v>
      </c>
      <c r="BZ91" s="2">
        <v>0</v>
      </c>
      <c r="CA91" s="2">
        <v>0</v>
      </c>
      <c r="CB91" s="2">
        <v>0</v>
      </c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0</v>
      </c>
      <c r="CI91" s="2">
        <v>0</v>
      </c>
      <c r="CJ91" s="2">
        <v>0</v>
      </c>
      <c r="CK91" s="2">
        <v>97</v>
      </c>
      <c r="CL91" s="2" t="s">
        <v>97</v>
      </c>
      <c r="CM91" s="2">
        <v>98</v>
      </c>
      <c r="CN91" s="2">
        <v>6</v>
      </c>
      <c r="CO91" s="2">
        <v>4</v>
      </c>
    </row>
    <row r="92" spans="1:93">
      <c r="A92">
        <v>22</v>
      </c>
      <c r="B92" t="s">
        <v>91</v>
      </c>
      <c r="C92" s="2">
        <v>7</v>
      </c>
      <c r="D92" s="2" t="s">
        <v>175</v>
      </c>
      <c r="E92">
        <v>97</v>
      </c>
      <c r="F92" s="2">
        <v>0</v>
      </c>
      <c r="G92" s="2">
        <v>0</v>
      </c>
      <c r="H92" s="2">
        <v>5</v>
      </c>
      <c r="I92" s="2">
        <f t="shared" si="20"/>
        <v>22</v>
      </c>
      <c r="J92" s="2">
        <f t="shared" si="21"/>
        <v>1</v>
      </c>
      <c r="K92" s="4">
        <v>1</v>
      </c>
      <c r="L92" s="2">
        <v>6</v>
      </c>
      <c r="M92" s="2">
        <v>0</v>
      </c>
      <c r="N92" s="2">
        <v>3</v>
      </c>
      <c r="O92" s="2">
        <v>0</v>
      </c>
      <c r="P92" s="2">
        <v>0</v>
      </c>
      <c r="Q92" s="2">
        <v>0</v>
      </c>
      <c r="R92" s="2">
        <v>1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1</v>
      </c>
      <c r="Y92" s="2">
        <v>0</v>
      </c>
      <c r="Z92" s="2">
        <v>0</v>
      </c>
      <c r="AA92" s="2">
        <v>0</v>
      </c>
      <c r="AB92" s="2">
        <v>1</v>
      </c>
      <c r="AC92" s="2">
        <v>6</v>
      </c>
      <c r="AD92" s="2">
        <v>97</v>
      </c>
      <c r="AE92" s="2">
        <v>97</v>
      </c>
      <c r="AF92" s="2">
        <v>97</v>
      </c>
      <c r="AG92" s="2">
        <v>97</v>
      </c>
      <c r="AH92" s="2">
        <v>97</v>
      </c>
      <c r="AI92" s="2">
        <v>97</v>
      </c>
      <c r="AJ92" s="2">
        <v>97</v>
      </c>
      <c r="AK92" s="2">
        <v>97</v>
      </c>
      <c r="AL92" s="2">
        <v>97</v>
      </c>
      <c r="AM92" s="2">
        <v>97</v>
      </c>
      <c r="AN92" s="2">
        <v>97</v>
      </c>
      <c r="AO92" s="2">
        <v>97</v>
      </c>
      <c r="AP92" s="2">
        <v>1</v>
      </c>
      <c r="AQ92" s="2">
        <v>5</v>
      </c>
      <c r="AR92" s="2"/>
      <c r="AS92" s="2">
        <v>1</v>
      </c>
      <c r="AT92" s="2"/>
      <c r="AU92" s="2">
        <f t="shared" si="22"/>
        <v>333</v>
      </c>
      <c r="AV92" s="2">
        <f t="shared" si="23"/>
        <v>333</v>
      </c>
      <c r="AW92" s="1">
        <f t="shared" si="31"/>
        <v>60.545454545454547</v>
      </c>
      <c r="AX92" s="2">
        <v>20</v>
      </c>
      <c r="AY92" s="2"/>
      <c r="AZ92" s="2"/>
      <c r="BA92" s="2">
        <f t="shared" si="25"/>
        <v>20</v>
      </c>
      <c r="BB92" s="2">
        <f t="shared" si="26"/>
        <v>20</v>
      </c>
      <c r="BC92" s="2">
        <v>0</v>
      </c>
      <c r="BD92" s="2">
        <v>1</v>
      </c>
      <c r="BE92" s="2">
        <v>4</v>
      </c>
      <c r="BF92" s="4">
        <f t="shared" si="27"/>
        <v>4</v>
      </c>
      <c r="BG92" s="2">
        <v>1</v>
      </c>
      <c r="BH92" s="5">
        <f t="shared" si="28"/>
        <v>1</v>
      </c>
      <c r="BI92" s="2">
        <v>1</v>
      </c>
      <c r="BJ92" s="2">
        <v>4</v>
      </c>
      <c r="BK92" s="2">
        <v>0</v>
      </c>
      <c r="BL92" t="s">
        <v>83</v>
      </c>
      <c r="BM92" s="2">
        <f t="shared" si="29"/>
        <v>1</v>
      </c>
      <c r="BN92" s="2">
        <v>0</v>
      </c>
      <c r="BO92" s="2">
        <v>99997</v>
      </c>
      <c r="BP92" s="2">
        <v>1</v>
      </c>
      <c r="BQ92" s="2">
        <v>97</v>
      </c>
      <c r="BR92" s="2">
        <v>0</v>
      </c>
      <c r="BS92" s="2">
        <v>0</v>
      </c>
      <c r="BT92" s="2">
        <v>97</v>
      </c>
      <c r="BU92" s="2">
        <v>1</v>
      </c>
      <c r="BV92" s="2">
        <v>1</v>
      </c>
      <c r="BW92" s="2">
        <v>0</v>
      </c>
      <c r="BX92" s="2">
        <v>1</v>
      </c>
      <c r="BY92" s="2">
        <v>1</v>
      </c>
      <c r="BZ92" s="2">
        <v>0</v>
      </c>
      <c r="CA92" s="2">
        <v>0</v>
      </c>
      <c r="CB92" s="2">
        <v>0</v>
      </c>
      <c r="CC92" s="2">
        <v>0</v>
      </c>
      <c r="CD92" s="2">
        <v>0</v>
      </c>
      <c r="CE92" s="2">
        <v>0</v>
      </c>
      <c r="CF92" s="2">
        <v>0</v>
      </c>
      <c r="CG92" s="2">
        <v>0</v>
      </c>
      <c r="CH92" s="2">
        <v>0</v>
      </c>
      <c r="CI92" s="2">
        <v>0</v>
      </c>
      <c r="CJ92" s="2">
        <v>0</v>
      </c>
      <c r="CK92" s="2">
        <v>97</v>
      </c>
      <c r="CL92" s="2">
        <v>97</v>
      </c>
      <c r="CM92" s="2">
        <v>98</v>
      </c>
      <c r="CN92" s="2">
        <v>4</v>
      </c>
      <c r="CO92" s="2">
        <v>2</v>
      </c>
    </row>
    <row r="93" spans="1:93">
      <c r="A93">
        <v>21</v>
      </c>
      <c r="B93" t="s">
        <v>85</v>
      </c>
      <c r="C93" s="2">
        <v>7</v>
      </c>
      <c r="D93" s="2" t="s">
        <v>175</v>
      </c>
      <c r="E93">
        <v>97</v>
      </c>
      <c r="F93" s="2">
        <v>1</v>
      </c>
      <c r="G93" s="2">
        <v>1</v>
      </c>
      <c r="H93" s="2">
        <v>5</v>
      </c>
      <c r="I93" s="2">
        <f t="shared" si="20"/>
        <v>22</v>
      </c>
      <c r="J93" s="2">
        <f t="shared" si="21"/>
        <v>1</v>
      </c>
      <c r="K93" s="4">
        <v>1</v>
      </c>
      <c r="L93" s="2">
        <v>7</v>
      </c>
      <c r="M93" s="2">
        <v>1</v>
      </c>
      <c r="N93" s="2">
        <v>3</v>
      </c>
      <c r="O93" s="2">
        <v>0</v>
      </c>
      <c r="P93" s="2">
        <v>0</v>
      </c>
      <c r="Q93" s="2">
        <v>0</v>
      </c>
      <c r="R93" s="2">
        <v>0</v>
      </c>
      <c r="S93" s="2">
        <v>1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2">
        <v>1</v>
      </c>
      <c r="AC93" s="2">
        <v>7</v>
      </c>
      <c r="AD93" s="2">
        <v>97</v>
      </c>
      <c r="AE93" s="2">
        <v>97</v>
      </c>
      <c r="AF93" s="2">
        <v>97</v>
      </c>
      <c r="AG93" s="2">
        <v>97</v>
      </c>
      <c r="AH93" s="2">
        <v>97</v>
      </c>
      <c r="AI93" s="2">
        <v>97</v>
      </c>
      <c r="AJ93" s="2">
        <v>97</v>
      </c>
      <c r="AK93" s="2">
        <v>97</v>
      </c>
      <c r="AL93" s="2">
        <v>97</v>
      </c>
      <c r="AM93" s="2">
        <v>97</v>
      </c>
      <c r="AN93" s="2">
        <v>97</v>
      </c>
      <c r="AO93" s="2">
        <v>97</v>
      </c>
      <c r="AP93" s="2">
        <v>1</v>
      </c>
      <c r="AQ93" s="2">
        <v>5</v>
      </c>
      <c r="AR93" s="2"/>
      <c r="AS93" s="2">
        <v>5</v>
      </c>
      <c r="AT93" s="2"/>
      <c r="AU93" s="2">
        <f t="shared" si="22"/>
        <v>1665</v>
      </c>
      <c r="AV93" s="2">
        <f t="shared" si="23"/>
        <v>1665</v>
      </c>
      <c r="AW93" s="1">
        <f t="shared" si="31"/>
        <v>302.72727272727275</v>
      </c>
      <c r="AX93" s="2"/>
      <c r="AY93" s="2">
        <v>1</v>
      </c>
      <c r="AZ93" s="2"/>
      <c r="BA93" s="2">
        <f t="shared" si="25"/>
        <v>333</v>
      </c>
      <c r="BB93" s="2">
        <f t="shared" si="26"/>
        <v>333</v>
      </c>
      <c r="BC93" s="2">
        <v>0</v>
      </c>
      <c r="BD93" s="2">
        <v>1</v>
      </c>
      <c r="BE93" s="2">
        <v>15</v>
      </c>
      <c r="BF93" s="4">
        <f t="shared" si="27"/>
        <v>15</v>
      </c>
      <c r="BG93" s="2">
        <v>3</v>
      </c>
      <c r="BH93" s="5">
        <f t="shared" si="28"/>
        <v>3</v>
      </c>
      <c r="BI93" s="2">
        <v>0</v>
      </c>
      <c r="BJ93" s="2">
        <v>4</v>
      </c>
      <c r="BK93" s="2">
        <v>0</v>
      </c>
      <c r="BL93" t="s">
        <v>83</v>
      </c>
      <c r="BM93" s="2">
        <f t="shared" si="29"/>
        <v>1</v>
      </c>
      <c r="BN93" s="2">
        <v>0</v>
      </c>
      <c r="BO93" s="2">
        <v>99997</v>
      </c>
      <c r="BP93" s="2">
        <v>1</v>
      </c>
      <c r="BQ93" s="2">
        <v>97</v>
      </c>
      <c r="BR93" s="2">
        <v>1</v>
      </c>
      <c r="BS93" s="2">
        <v>0</v>
      </c>
      <c r="BT93" s="2">
        <v>97</v>
      </c>
      <c r="BU93" s="2">
        <v>1</v>
      </c>
      <c r="BV93" s="2">
        <v>1</v>
      </c>
      <c r="BW93" s="2">
        <v>1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97</v>
      </c>
      <c r="CL93" s="2">
        <v>97</v>
      </c>
      <c r="CM93" s="2">
        <v>98</v>
      </c>
      <c r="CN93" s="2">
        <v>6</v>
      </c>
      <c r="CO93" s="2">
        <v>4</v>
      </c>
    </row>
    <row r="94" spans="1:93">
      <c r="A94">
        <v>20</v>
      </c>
      <c r="B94" t="s">
        <v>91</v>
      </c>
      <c r="C94" s="2">
        <v>5</v>
      </c>
      <c r="D94" s="2" t="s">
        <v>160</v>
      </c>
      <c r="E94">
        <v>97</v>
      </c>
      <c r="F94" s="2">
        <v>0</v>
      </c>
      <c r="G94" s="2">
        <v>0</v>
      </c>
      <c r="H94" s="2">
        <v>3</v>
      </c>
      <c r="I94" s="2">
        <f t="shared" si="20"/>
        <v>99</v>
      </c>
      <c r="J94" s="2">
        <f t="shared" si="21"/>
        <v>4.5</v>
      </c>
      <c r="K94" s="4">
        <v>1</v>
      </c>
      <c r="L94" s="2">
        <v>6</v>
      </c>
      <c r="M94" s="2">
        <v>1</v>
      </c>
      <c r="N94" s="2">
        <v>2</v>
      </c>
      <c r="O94" s="2">
        <v>0</v>
      </c>
      <c r="P94" s="2">
        <v>0</v>
      </c>
      <c r="Q94" s="2">
        <v>0</v>
      </c>
      <c r="R94" s="2">
        <v>0</v>
      </c>
      <c r="S94" s="2">
        <v>1</v>
      </c>
      <c r="T94" s="2">
        <v>1</v>
      </c>
      <c r="U94" s="2">
        <v>1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1</v>
      </c>
      <c r="AC94" s="2">
        <v>6</v>
      </c>
      <c r="AD94" s="2">
        <v>97</v>
      </c>
      <c r="AE94" s="2">
        <v>97</v>
      </c>
      <c r="AF94" s="2">
        <v>97</v>
      </c>
      <c r="AG94" s="2">
        <v>97</v>
      </c>
      <c r="AH94" s="2">
        <v>97</v>
      </c>
      <c r="AI94" s="2">
        <v>97</v>
      </c>
      <c r="AJ94" s="2">
        <v>97</v>
      </c>
      <c r="AK94" s="2">
        <v>97</v>
      </c>
      <c r="AL94" s="2">
        <v>97</v>
      </c>
      <c r="AM94" s="2">
        <v>97</v>
      </c>
      <c r="AN94" s="2">
        <v>97</v>
      </c>
      <c r="AO94" s="2">
        <v>97</v>
      </c>
      <c r="AP94" s="2">
        <v>1</v>
      </c>
      <c r="AQ94" s="2">
        <v>7</v>
      </c>
      <c r="AR94" s="2"/>
      <c r="AS94" s="2">
        <v>1</v>
      </c>
      <c r="AT94" s="2"/>
      <c r="AU94" s="2">
        <f t="shared" si="22"/>
        <v>333</v>
      </c>
      <c r="AV94" s="2">
        <f t="shared" si="23"/>
        <v>333</v>
      </c>
      <c r="AW94" s="1">
        <f t="shared" si="31"/>
        <v>60.545454545454547</v>
      </c>
      <c r="AX94" s="2">
        <v>2</v>
      </c>
      <c r="AY94" s="2"/>
      <c r="AZ94" s="2"/>
      <c r="BA94" s="2">
        <f t="shared" si="25"/>
        <v>2</v>
      </c>
      <c r="BB94" s="2">
        <f t="shared" si="26"/>
        <v>2</v>
      </c>
      <c r="BC94" s="2">
        <v>1</v>
      </c>
      <c r="BD94" s="2">
        <v>1</v>
      </c>
      <c r="BE94" s="6">
        <v>10</v>
      </c>
      <c r="BF94" s="4">
        <f t="shared" si="27"/>
        <v>10</v>
      </c>
      <c r="BG94" s="2">
        <v>2</v>
      </c>
      <c r="BH94" s="5">
        <f t="shared" si="28"/>
        <v>9</v>
      </c>
      <c r="BI94" s="2">
        <v>1</v>
      </c>
      <c r="BJ94" s="2">
        <v>6</v>
      </c>
      <c r="BK94" s="2">
        <v>0</v>
      </c>
      <c r="BL94" t="s">
        <v>83</v>
      </c>
      <c r="BM94" s="2">
        <f t="shared" si="29"/>
        <v>1</v>
      </c>
      <c r="BN94" s="2">
        <v>0</v>
      </c>
      <c r="BO94" s="2">
        <v>99997</v>
      </c>
      <c r="BP94" s="2">
        <v>1</v>
      </c>
      <c r="BQ94" s="2">
        <v>97</v>
      </c>
      <c r="BR94" s="2">
        <v>1</v>
      </c>
      <c r="BS94" s="2">
        <v>0</v>
      </c>
      <c r="BT94" s="2">
        <v>97</v>
      </c>
      <c r="BU94" s="2">
        <v>1</v>
      </c>
      <c r="BV94" s="2">
        <v>1</v>
      </c>
      <c r="BW94" s="2">
        <v>1</v>
      </c>
      <c r="BX94" s="2">
        <v>0</v>
      </c>
      <c r="BY94" s="2">
        <v>1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97</v>
      </c>
      <c r="CL94" s="2">
        <v>97</v>
      </c>
      <c r="CM94" s="2">
        <v>5</v>
      </c>
      <c r="CN94" s="2">
        <v>6</v>
      </c>
      <c r="CO94" s="2">
        <v>6</v>
      </c>
    </row>
    <row r="95" spans="1:93">
      <c r="A95">
        <v>19</v>
      </c>
      <c r="B95" t="s">
        <v>91</v>
      </c>
      <c r="C95" s="2">
        <v>97</v>
      </c>
      <c r="D95" s="2" t="s">
        <v>168</v>
      </c>
      <c r="E95" t="s">
        <v>95</v>
      </c>
      <c r="F95" s="2">
        <v>0</v>
      </c>
      <c r="G95" s="2">
        <v>1</v>
      </c>
      <c r="H95" s="2">
        <v>6</v>
      </c>
      <c r="I95" s="2">
        <f t="shared" si="20"/>
        <v>16.5</v>
      </c>
      <c r="J95" s="2">
        <f t="shared" si="21"/>
        <v>0.75</v>
      </c>
      <c r="K95" s="4">
        <v>0.75</v>
      </c>
      <c r="L95" s="2">
        <v>3</v>
      </c>
      <c r="M95" s="2">
        <v>0</v>
      </c>
      <c r="N95" s="2">
        <v>1</v>
      </c>
      <c r="O95" s="2">
        <v>0</v>
      </c>
      <c r="P95" s="2">
        <v>0</v>
      </c>
      <c r="Q95" s="2">
        <v>0</v>
      </c>
      <c r="R95" s="2">
        <v>0</v>
      </c>
      <c r="S95" s="2">
        <v>1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1</v>
      </c>
      <c r="AC95" s="2">
        <v>4</v>
      </c>
      <c r="AD95" s="2">
        <v>0</v>
      </c>
      <c r="AE95" s="2">
        <v>0</v>
      </c>
      <c r="AF95" s="2">
        <v>1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1</v>
      </c>
      <c r="AQ95" s="2">
        <v>3</v>
      </c>
      <c r="AR95" s="2">
        <v>200</v>
      </c>
      <c r="AS95" s="2"/>
      <c r="AT95" s="2"/>
      <c r="AU95" s="2">
        <f t="shared" si="22"/>
        <v>200</v>
      </c>
      <c r="AV95" s="2">
        <f t="shared" si="23"/>
        <v>200</v>
      </c>
      <c r="AW95" s="1">
        <f t="shared" si="31"/>
        <v>36.363636363636367</v>
      </c>
      <c r="AX95" s="2">
        <v>20</v>
      </c>
      <c r="AY95" s="2"/>
      <c r="AZ95" s="2"/>
      <c r="BA95" s="2">
        <f t="shared" si="25"/>
        <v>20</v>
      </c>
      <c r="BB95" s="2">
        <f t="shared" si="26"/>
        <v>20</v>
      </c>
      <c r="BC95" s="2">
        <v>0</v>
      </c>
      <c r="BD95" s="2">
        <v>1</v>
      </c>
      <c r="BE95" s="2">
        <v>4</v>
      </c>
      <c r="BF95" s="4">
        <f t="shared" si="27"/>
        <v>4</v>
      </c>
      <c r="BG95" s="2">
        <v>1</v>
      </c>
      <c r="BH95" s="5">
        <f t="shared" si="28"/>
        <v>0.75</v>
      </c>
      <c r="BI95" s="2">
        <v>0</v>
      </c>
      <c r="BJ95" s="2">
        <v>3</v>
      </c>
      <c r="BK95" s="2">
        <v>1</v>
      </c>
      <c r="BL95" s="3">
        <v>99</v>
      </c>
      <c r="BM95" s="2">
        <f t="shared" si="29"/>
        <v>0</v>
      </c>
      <c r="BN95" s="2">
        <v>0</v>
      </c>
      <c r="BO95" s="2">
        <v>99997</v>
      </c>
      <c r="BP95" s="2">
        <v>1</v>
      </c>
      <c r="BQ95" s="2">
        <v>97</v>
      </c>
      <c r="BR95" s="2">
        <v>1</v>
      </c>
      <c r="BS95" s="2">
        <v>1</v>
      </c>
      <c r="BT95" s="2">
        <v>1</v>
      </c>
      <c r="BU95" s="2">
        <v>1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 t="s">
        <v>96</v>
      </c>
      <c r="CL95" s="2">
        <v>97</v>
      </c>
      <c r="CM95" s="2">
        <v>99</v>
      </c>
      <c r="CN95" s="2">
        <v>99</v>
      </c>
      <c r="CO95" s="2">
        <v>99</v>
      </c>
    </row>
    <row r="96" spans="1:93">
      <c r="A96">
        <v>18</v>
      </c>
      <c r="B96" t="s">
        <v>81</v>
      </c>
      <c r="C96" s="2">
        <v>7</v>
      </c>
      <c r="D96" s="2" t="s">
        <v>175</v>
      </c>
      <c r="E96" t="s">
        <v>94</v>
      </c>
      <c r="F96" s="2">
        <v>1</v>
      </c>
      <c r="G96" s="2">
        <v>1</v>
      </c>
      <c r="H96" s="2">
        <v>7</v>
      </c>
      <c r="I96" s="2">
        <f t="shared" si="20"/>
        <v>6.6</v>
      </c>
      <c r="J96" s="2">
        <f t="shared" si="21"/>
        <v>0.3</v>
      </c>
      <c r="K96" s="4">
        <v>0.3</v>
      </c>
      <c r="L96" s="2">
        <v>5</v>
      </c>
      <c r="M96" s="2">
        <v>0</v>
      </c>
      <c r="N96" s="2">
        <v>3</v>
      </c>
      <c r="O96" s="2">
        <v>0</v>
      </c>
      <c r="P96" s="2">
        <v>0</v>
      </c>
      <c r="Q96" s="2">
        <v>0</v>
      </c>
      <c r="R96" s="2">
        <v>0</v>
      </c>
      <c r="S96" s="2">
        <v>1</v>
      </c>
      <c r="T96" s="2">
        <v>1</v>
      </c>
      <c r="U96" s="2">
        <v>1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1</v>
      </c>
      <c r="AC96" s="2">
        <v>5</v>
      </c>
      <c r="AD96" s="2">
        <v>97</v>
      </c>
      <c r="AE96" s="2">
        <v>97</v>
      </c>
      <c r="AF96" s="2">
        <v>97</v>
      </c>
      <c r="AG96" s="2">
        <v>97</v>
      </c>
      <c r="AH96" s="2">
        <v>97</v>
      </c>
      <c r="AI96" s="2">
        <v>97</v>
      </c>
      <c r="AJ96" s="2">
        <v>97</v>
      </c>
      <c r="AK96" s="2">
        <v>97</v>
      </c>
      <c r="AL96" s="2">
        <v>97</v>
      </c>
      <c r="AM96" s="2">
        <v>97</v>
      </c>
      <c r="AN96" s="2">
        <v>97</v>
      </c>
      <c r="AO96" s="2">
        <v>97</v>
      </c>
      <c r="AP96" s="2">
        <v>1</v>
      </c>
      <c r="AQ96" s="2">
        <v>5</v>
      </c>
      <c r="AR96" s="2"/>
      <c r="AS96" s="2">
        <v>3</v>
      </c>
      <c r="AT96" s="2"/>
      <c r="AU96" s="2">
        <f t="shared" si="22"/>
        <v>999</v>
      </c>
      <c r="AV96" s="2">
        <f t="shared" si="23"/>
        <v>999</v>
      </c>
      <c r="AW96" s="1">
        <f t="shared" si="31"/>
        <v>181.63636363636363</v>
      </c>
      <c r="AX96" s="2"/>
      <c r="AY96" s="2">
        <v>1</v>
      </c>
      <c r="AZ96" s="2"/>
      <c r="BA96" s="2">
        <f t="shared" si="25"/>
        <v>333</v>
      </c>
      <c r="BB96" s="2">
        <f t="shared" si="26"/>
        <v>333</v>
      </c>
      <c r="BC96" s="2">
        <v>0</v>
      </c>
      <c r="BD96" s="2">
        <v>1</v>
      </c>
      <c r="BE96" s="2">
        <v>12</v>
      </c>
      <c r="BF96" s="4">
        <f t="shared" si="27"/>
        <v>12</v>
      </c>
      <c r="BG96" s="2">
        <v>4</v>
      </c>
      <c r="BH96" s="5">
        <f t="shared" si="28"/>
        <v>1.2</v>
      </c>
      <c r="BI96" s="2">
        <v>0</v>
      </c>
      <c r="BJ96" s="2">
        <v>5</v>
      </c>
      <c r="BK96" s="2">
        <v>0</v>
      </c>
      <c r="BL96" t="s">
        <v>83</v>
      </c>
      <c r="BM96" s="2">
        <f t="shared" si="29"/>
        <v>1</v>
      </c>
      <c r="BN96" s="2">
        <v>0</v>
      </c>
      <c r="BO96" s="2">
        <v>99997</v>
      </c>
      <c r="BP96" s="2">
        <v>3</v>
      </c>
      <c r="BQ96" s="2">
        <v>97</v>
      </c>
      <c r="BR96" s="2">
        <v>1</v>
      </c>
      <c r="BS96" s="2">
        <v>0</v>
      </c>
      <c r="BT96" s="2">
        <v>97</v>
      </c>
      <c r="BU96" s="2">
        <v>1</v>
      </c>
      <c r="BV96" s="2">
        <v>1</v>
      </c>
      <c r="BW96" s="2">
        <v>1</v>
      </c>
      <c r="BX96" s="2">
        <v>1</v>
      </c>
      <c r="BY96" s="2">
        <v>1</v>
      </c>
      <c r="BZ96" s="2">
        <v>0</v>
      </c>
      <c r="CA96" s="2">
        <v>0</v>
      </c>
      <c r="CB96" s="2">
        <v>0</v>
      </c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>
        <v>0</v>
      </c>
      <c r="CJ96" s="2">
        <v>0</v>
      </c>
      <c r="CK96" s="2">
        <v>97</v>
      </c>
      <c r="CL96" s="2">
        <v>97</v>
      </c>
      <c r="CM96" s="2">
        <v>98</v>
      </c>
      <c r="CN96" s="2">
        <v>6</v>
      </c>
      <c r="CO96" s="2">
        <v>4</v>
      </c>
    </row>
    <row r="97" spans="1:93">
      <c r="A97">
        <v>17</v>
      </c>
      <c r="B97" t="s">
        <v>91</v>
      </c>
      <c r="C97" s="2">
        <v>97</v>
      </c>
      <c r="D97" s="2" t="s">
        <v>168</v>
      </c>
      <c r="E97" t="s">
        <v>93</v>
      </c>
      <c r="F97" s="2">
        <v>1</v>
      </c>
      <c r="G97" s="2">
        <v>0</v>
      </c>
      <c r="H97" s="2">
        <v>6</v>
      </c>
      <c r="I97" s="2">
        <f t="shared" si="20"/>
        <v>16.5</v>
      </c>
      <c r="J97" s="2">
        <f t="shared" si="21"/>
        <v>0.75</v>
      </c>
      <c r="K97" s="4">
        <v>0.75</v>
      </c>
      <c r="L97" s="2">
        <v>3</v>
      </c>
      <c r="M97" s="2">
        <v>0</v>
      </c>
      <c r="N97" s="2">
        <v>1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1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1</v>
      </c>
      <c r="AC97" s="2">
        <v>4</v>
      </c>
      <c r="AD97" s="2">
        <v>0</v>
      </c>
      <c r="AE97" s="2">
        <v>0</v>
      </c>
      <c r="AF97" s="2">
        <v>0</v>
      </c>
      <c r="AG97" s="2">
        <v>0</v>
      </c>
      <c r="AH97" s="2">
        <v>1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1</v>
      </c>
      <c r="AQ97" s="2">
        <v>3</v>
      </c>
      <c r="AR97" s="2"/>
      <c r="AS97" s="2"/>
      <c r="AT97" s="2">
        <v>8</v>
      </c>
      <c r="AU97" s="2">
        <f t="shared" si="22"/>
        <v>2664</v>
      </c>
      <c r="AV97" s="2">
        <f t="shared" si="23"/>
        <v>2664</v>
      </c>
      <c r="AW97" s="1">
        <f t="shared" si="31"/>
        <v>484.36363636363637</v>
      </c>
      <c r="AX97" s="2"/>
      <c r="AY97" s="2"/>
      <c r="AZ97" s="2">
        <v>2.5</v>
      </c>
      <c r="BA97" s="2">
        <f t="shared" si="25"/>
        <v>832.5</v>
      </c>
      <c r="BB97" s="2">
        <f t="shared" si="26"/>
        <v>832.5</v>
      </c>
      <c r="BC97" s="2">
        <v>0</v>
      </c>
      <c r="BD97" s="2">
        <v>1</v>
      </c>
      <c r="BE97" s="2">
        <v>10</v>
      </c>
      <c r="BF97" s="4">
        <f t="shared" si="27"/>
        <v>10</v>
      </c>
      <c r="BG97" s="2">
        <v>1</v>
      </c>
      <c r="BH97" s="5">
        <f t="shared" si="28"/>
        <v>0.75</v>
      </c>
      <c r="BI97" s="2">
        <v>0</v>
      </c>
      <c r="BJ97" s="2">
        <v>4</v>
      </c>
      <c r="BK97" s="2">
        <v>0</v>
      </c>
      <c r="BL97" t="s">
        <v>83</v>
      </c>
      <c r="BM97" s="2">
        <f t="shared" si="29"/>
        <v>1</v>
      </c>
      <c r="BN97" s="2">
        <v>0</v>
      </c>
      <c r="BO97" s="2">
        <v>99997</v>
      </c>
      <c r="BP97" s="2">
        <v>3</v>
      </c>
      <c r="BQ97" s="2">
        <v>97</v>
      </c>
      <c r="BR97" s="2">
        <v>1</v>
      </c>
      <c r="BS97" s="2">
        <v>1</v>
      </c>
      <c r="BT97" s="2">
        <v>1</v>
      </c>
      <c r="BU97" s="2">
        <v>1</v>
      </c>
      <c r="BV97" s="2">
        <v>1</v>
      </c>
      <c r="BW97" s="2">
        <v>1</v>
      </c>
      <c r="BX97" s="2">
        <v>1</v>
      </c>
      <c r="BY97" s="2">
        <v>1</v>
      </c>
      <c r="BZ97" s="2">
        <v>0</v>
      </c>
      <c r="CA97" s="2">
        <v>0</v>
      </c>
      <c r="CB97" s="2">
        <v>1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97</v>
      </c>
      <c r="CL97" s="2">
        <v>97</v>
      </c>
      <c r="CM97" s="2">
        <v>98</v>
      </c>
      <c r="CN97" s="2">
        <v>5</v>
      </c>
      <c r="CO97" s="2">
        <v>99</v>
      </c>
    </row>
    <row r="98" spans="1:93">
      <c r="A98">
        <v>15</v>
      </c>
      <c r="B98" t="s">
        <v>91</v>
      </c>
      <c r="C98" s="2">
        <v>15</v>
      </c>
      <c r="D98" s="2" t="s">
        <v>174</v>
      </c>
      <c r="E98">
        <v>97</v>
      </c>
      <c r="F98" s="2">
        <v>0</v>
      </c>
      <c r="G98" s="2">
        <v>0</v>
      </c>
      <c r="H98" s="2">
        <v>4</v>
      </c>
      <c r="I98" s="2">
        <f t="shared" ref="I98:I110" si="32">IF(H98=3,(4.5*22),IF(H98=4,(2.5*22),IF(H98=5,(1*22),IF(H98=6,(0.75*22),IF(H98=7,(0.3*22),IF(H98=8,(0.091*22),IF(H98=9,(0.03*22))))))))</f>
        <v>55</v>
      </c>
      <c r="J98" s="2">
        <f t="shared" ref="J98:J110" si="33">I98/22</f>
        <v>2.5</v>
      </c>
      <c r="K98" s="4">
        <v>1</v>
      </c>
      <c r="L98" s="2">
        <v>6</v>
      </c>
      <c r="M98" s="2">
        <v>0</v>
      </c>
      <c r="N98" s="2">
        <v>3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</v>
      </c>
      <c r="U98" s="2">
        <v>0</v>
      </c>
      <c r="V98" s="2">
        <v>0</v>
      </c>
      <c r="W98" s="2">
        <v>1</v>
      </c>
      <c r="X98" s="2">
        <v>0</v>
      </c>
      <c r="Y98" s="2">
        <v>0</v>
      </c>
      <c r="Z98" s="2">
        <v>0</v>
      </c>
      <c r="AA98" s="2">
        <v>0</v>
      </c>
      <c r="AB98" s="2">
        <v>1</v>
      </c>
      <c r="AC98" s="2">
        <v>6</v>
      </c>
      <c r="AD98" s="2">
        <v>97</v>
      </c>
      <c r="AE98" s="2">
        <v>97</v>
      </c>
      <c r="AF98" s="2">
        <v>97</v>
      </c>
      <c r="AG98" s="2">
        <v>97</v>
      </c>
      <c r="AH98" s="2">
        <v>97</v>
      </c>
      <c r="AI98" s="2">
        <v>97</v>
      </c>
      <c r="AJ98" s="2">
        <v>97</v>
      </c>
      <c r="AK98" s="2">
        <v>97</v>
      </c>
      <c r="AL98" s="2">
        <v>97</v>
      </c>
      <c r="AM98" s="2">
        <v>97</v>
      </c>
      <c r="AN98" s="2">
        <v>97</v>
      </c>
      <c r="AO98" s="2">
        <v>97</v>
      </c>
      <c r="AP98" s="2">
        <v>1</v>
      </c>
      <c r="AQ98" s="2">
        <v>7</v>
      </c>
      <c r="AR98" s="2">
        <v>30</v>
      </c>
      <c r="AS98" s="2"/>
      <c r="AT98" s="2"/>
      <c r="AU98" s="2">
        <f t="shared" ref="AU98:AU110" si="34">AR98+(AS98*333)+(AT98*333)</f>
        <v>30</v>
      </c>
      <c r="AV98" s="2">
        <f t="shared" ref="AV98:AV110" si="35">IF(AU98=99999,0,IF(AU98=99998,0,AU98))</f>
        <v>30</v>
      </c>
      <c r="AW98" s="1">
        <f t="shared" si="31"/>
        <v>5.4545454545454541</v>
      </c>
      <c r="AX98" s="2">
        <v>3</v>
      </c>
      <c r="AY98" s="2"/>
      <c r="AZ98" s="2"/>
      <c r="BA98" s="2">
        <f t="shared" ref="BA98:BA110" si="36">AX98+(AY98*333)+(AZ98*333)</f>
        <v>3</v>
      </c>
      <c r="BB98" s="2">
        <f t="shared" ref="BB98:BB110" si="37">IF(BA98=99999,0,IF(BA98=99998,0,IF(BA98=99997,0,BA98)))</f>
        <v>3</v>
      </c>
      <c r="BC98" s="2">
        <v>0</v>
      </c>
      <c r="BD98" s="2">
        <v>1</v>
      </c>
      <c r="BE98" s="2">
        <v>10</v>
      </c>
      <c r="BF98" s="4">
        <f t="shared" ref="BF98:BF110" si="38">IF(BE98=99,0,IF(BE98=98,0,IF(BE98=97,0,BE98)))</f>
        <v>10</v>
      </c>
      <c r="BG98" s="2">
        <v>4</v>
      </c>
      <c r="BH98" s="5">
        <f t="shared" ref="BH98:BH110" si="39">IF(BG98&lt;97,(BG98*J98),0)</f>
        <v>10</v>
      </c>
      <c r="BI98" s="2">
        <v>1</v>
      </c>
      <c r="BJ98" s="2">
        <v>7</v>
      </c>
      <c r="BK98" s="2">
        <v>0</v>
      </c>
      <c r="BL98" t="s">
        <v>83</v>
      </c>
      <c r="BM98" s="2">
        <f t="shared" ref="BM98:BM110" si="40">IF(BL98="Dør",1,0)</f>
        <v>1</v>
      </c>
      <c r="BN98" s="2">
        <v>1</v>
      </c>
      <c r="BO98" s="2">
        <v>150</v>
      </c>
      <c r="BP98" s="2">
        <v>1</v>
      </c>
      <c r="BQ98" s="2">
        <v>97</v>
      </c>
      <c r="BR98" s="2">
        <v>1</v>
      </c>
      <c r="BS98" s="2">
        <v>0</v>
      </c>
      <c r="BT98" s="2">
        <v>97</v>
      </c>
      <c r="BU98" s="2">
        <v>1</v>
      </c>
      <c r="BV98" s="2">
        <v>1</v>
      </c>
      <c r="BW98" s="2">
        <v>0</v>
      </c>
      <c r="BX98" s="2">
        <v>1</v>
      </c>
      <c r="BY98" s="2">
        <v>1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 t="s">
        <v>92</v>
      </c>
      <c r="CL98" s="2">
        <v>97</v>
      </c>
      <c r="CM98" s="2">
        <v>4</v>
      </c>
      <c r="CN98" s="2">
        <v>7</v>
      </c>
      <c r="CO98" s="2">
        <v>7</v>
      </c>
    </row>
    <row r="99" spans="1:93">
      <c r="A99">
        <v>14</v>
      </c>
      <c r="B99" t="s">
        <v>91</v>
      </c>
      <c r="C99" s="2">
        <v>8</v>
      </c>
      <c r="D99" s="2" t="s">
        <v>161</v>
      </c>
      <c r="E99">
        <v>97</v>
      </c>
      <c r="F99" s="2">
        <v>0</v>
      </c>
      <c r="G99" s="2">
        <v>0</v>
      </c>
      <c r="H99" s="2">
        <v>5</v>
      </c>
      <c r="I99" s="2">
        <f t="shared" si="32"/>
        <v>22</v>
      </c>
      <c r="J99" s="2">
        <f t="shared" si="33"/>
        <v>1</v>
      </c>
      <c r="K99" s="4">
        <v>1</v>
      </c>
      <c r="L99" s="2">
        <v>6</v>
      </c>
      <c r="M99" s="2">
        <v>1</v>
      </c>
      <c r="N99" s="2">
        <v>3</v>
      </c>
      <c r="O99" s="2">
        <v>0</v>
      </c>
      <c r="P99" s="2">
        <v>0</v>
      </c>
      <c r="Q99" s="2">
        <v>0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1</v>
      </c>
      <c r="AC99" s="2">
        <v>6</v>
      </c>
      <c r="AD99" s="2">
        <v>97</v>
      </c>
      <c r="AE99" s="2">
        <v>97</v>
      </c>
      <c r="AF99" s="2">
        <v>97</v>
      </c>
      <c r="AG99" s="2">
        <v>97</v>
      </c>
      <c r="AH99" s="2">
        <v>97</v>
      </c>
      <c r="AI99" s="2">
        <v>97</v>
      </c>
      <c r="AJ99" s="2">
        <v>97</v>
      </c>
      <c r="AK99" s="2">
        <v>97</v>
      </c>
      <c r="AL99" s="2">
        <v>97</v>
      </c>
      <c r="AM99" s="2">
        <v>97</v>
      </c>
      <c r="AN99" s="2">
        <v>97</v>
      </c>
      <c r="AO99" s="2">
        <v>97</v>
      </c>
      <c r="AP99" s="2">
        <v>1</v>
      </c>
      <c r="AQ99" s="2">
        <v>6</v>
      </c>
      <c r="AR99" s="2">
        <v>20</v>
      </c>
      <c r="AS99" s="2"/>
      <c r="AT99" s="2"/>
      <c r="AU99" s="2">
        <f t="shared" si="34"/>
        <v>20</v>
      </c>
      <c r="AV99" s="2">
        <f t="shared" si="35"/>
        <v>20</v>
      </c>
      <c r="AW99" s="1">
        <f t="shared" si="31"/>
        <v>3.6363636363636362</v>
      </c>
      <c r="AX99" s="2">
        <v>5</v>
      </c>
      <c r="AY99" s="2"/>
      <c r="AZ99" s="2"/>
      <c r="BA99" s="2">
        <f t="shared" si="36"/>
        <v>5</v>
      </c>
      <c r="BB99" s="2">
        <f t="shared" si="37"/>
        <v>5</v>
      </c>
      <c r="BC99" s="2">
        <v>0</v>
      </c>
      <c r="BD99" s="2">
        <v>1</v>
      </c>
      <c r="BE99" s="2">
        <v>15</v>
      </c>
      <c r="BF99" s="4">
        <f t="shared" si="38"/>
        <v>15</v>
      </c>
      <c r="BG99" s="2">
        <v>3</v>
      </c>
      <c r="BH99" s="5">
        <f t="shared" si="39"/>
        <v>3</v>
      </c>
      <c r="BI99" s="2">
        <v>1</v>
      </c>
      <c r="BJ99" s="2">
        <v>4</v>
      </c>
      <c r="BK99" s="2">
        <v>0</v>
      </c>
      <c r="BL99" t="s">
        <v>83</v>
      </c>
      <c r="BM99" s="2">
        <f t="shared" si="40"/>
        <v>1</v>
      </c>
      <c r="BN99" s="2">
        <v>1</v>
      </c>
      <c r="BO99" s="2">
        <v>140</v>
      </c>
      <c r="BP99" s="2">
        <v>1</v>
      </c>
      <c r="BQ99" s="2">
        <v>97</v>
      </c>
      <c r="BR99" s="2">
        <v>1</v>
      </c>
      <c r="BS99" s="2">
        <v>0</v>
      </c>
      <c r="BT99" s="2">
        <v>97</v>
      </c>
      <c r="BU99" s="2">
        <v>1</v>
      </c>
      <c r="BV99" s="2">
        <v>1</v>
      </c>
      <c r="BW99" s="2">
        <v>1</v>
      </c>
      <c r="BX99" s="2">
        <v>1</v>
      </c>
      <c r="BY99" s="2">
        <v>1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97</v>
      </c>
      <c r="CL99" s="2">
        <v>97</v>
      </c>
      <c r="CM99" s="2">
        <v>98</v>
      </c>
      <c r="CN99" s="2">
        <v>6</v>
      </c>
      <c r="CO99" s="2">
        <v>4</v>
      </c>
    </row>
    <row r="100" spans="1:93">
      <c r="A100">
        <v>13</v>
      </c>
      <c r="B100" t="s">
        <v>91</v>
      </c>
      <c r="C100" s="2">
        <v>7</v>
      </c>
      <c r="D100" s="2" t="s">
        <v>175</v>
      </c>
      <c r="E100">
        <v>97</v>
      </c>
      <c r="F100" s="2">
        <v>0</v>
      </c>
      <c r="G100" s="2">
        <v>0</v>
      </c>
      <c r="H100" s="2">
        <v>5</v>
      </c>
      <c r="I100" s="2">
        <f t="shared" si="32"/>
        <v>22</v>
      </c>
      <c r="J100" s="2">
        <f t="shared" si="33"/>
        <v>1</v>
      </c>
      <c r="K100" s="4">
        <v>1</v>
      </c>
      <c r="L100" s="2">
        <v>6</v>
      </c>
      <c r="M100" s="2">
        <v>1</v>
      </c>
      <c r="N100" s="2">
        <v>3</v>
      </c>
      <c r="O100" s="2">
        <v>0</v>
      </c>
      <c r="P100" s="2">
        <v>0</v>
      </c>
      <c r="Q100" s="2">
        <v>0</v>
      </c>
      <c r="R100" s="2">
        <v>0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1</v>
      </c>
      <c r="AB100" s="2">
        <v>1</v>
      </c>
      <c r="AC100" s="2">
        <v>6</v>
      </c>
      <c r="AD100" s="2">
        <v>97</v>
      </c>
      <c r="AE100" s="2">
        <v>97</v>
      </c>
      <c r="AF100" s="2">
        <v>97</v>
      </c>
      <c r="AG100" s="2">
        <v>97</v>
      </c>
      <c r="AH100" s="2">
        <v>97</v>
      </c>
      <c r="AI100" s="2">
        <v>97</v>
      </c>
      <c r="AJ100" s="2">
        <v>97</v>
      </c>
      <c r="AK100" s="2">
        <v>97</v>
      </c>
      <c r="AL100" s="2">
        <v>97</v>
      </c>
      <c r="AM100" s="2">
        <v>97</v>
      </c>
      <c r="AN100" s="2">
        <v>97</v>
      </c>
      <c r="AO100" s="2">
        <v>97</v>
      </c>
      <c r="AP100" s="2">
        <v>1</v>
      </c>
      <c r="AQ100" s="2">
        <v>7</v>
      </c>
      <c r="AR100" s="2">
        <v>20</v>
      </c>
      <c r="AS100" s="2"/>
      <c r="AT100" s="2"/>
      <c r="AU100" s="2">
        <f t="shared" si="34"/>
        <v>20</v>
      </c>
      <c r="AV100" s="2">
        <f t="shared" si="35"/>
        <v>20</v>
      </c>
      <c r="AW100" s="1">
        <f t="shared" si="31"/>
        <v>3.6363636363636362</v>
      </c>
      <c r="AX100" s="2">
        <v>5</v>
      </c>
      <c r="AY100" s="2"/>
      <c r="AZ100" s="2"/>
      <c r="BA100" s="2">
        <f t="shared" si="36"/>
        <v>5</v>
      </c>
      <c r="BB100" s="2">
        <f t="shared" si="37"/>
        <v>5</v>
      </c>
      <c r="BC100" s="2">
        <v>0</v>
      </c>
      <c r="BD100" s="2">
        <v>1</v>
      </c>
      <c r="BE100" s="2">
        <v>10</v>
      </c>
      <c r="BF100" s="4">
        <f t="shared" si="38"/>
        <v>10</v>
      </c>
      <c r="BG100" s="2">
        <v>2</v>
      </c>
      <c r="BH100" s="5">
        <f t="shared" si="39"/>
        <v>2</v>
      </c>
      <c r="BI100" s="2">
        <v>1</v>
      </c>
      <c r="BJ100" s="2">
        <v>6</v>
      </c>
      <c r="BK100" s="2">
        <v>0</v>
      </c>
      <c r="BL100" t="s">
        <v>83</v>
      </c>
      <c r="BM100" s="2">
        <f t="shared" si="40"/>
        <v>1</v>
      </c>
      <c r="BN100" s="2">
        <v>0</v>
      </c>
      <c r="BO100" s="2">
        <v>99997</v>
      </c>
      <c r="BP100" s="2">
        <v>1</v>
      </c>
      <c r="BQ100" s="2">
        <v>97</v>
      </c>
      <c r="BR100" s="2">
        <v>1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>
        <v>1</v>
      </c>
      <c r="BZ100" s="2">
        <v>0</v>
      </c>
      <c r="CA100" s="2">
        <v>0</v>
      </c>
      <c r="CB100" s="2">
        <v>0</v>
      </c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>
        <v>0</v>
      </c>
      <c r="CJ100" s="2">
        <v>0</v>
      </c>
      <c r="CK100" s="2">
        <v>97</v>
      </c>
      <c r="CL100" s="2">
        <v>97</v>
      </c>
      <c r="CM100" s="2">
        <v>3</v>
      </c>
      <c r="CN100" s="2">
        <v>6</v>
      </c>
      <c r="CO100" s="2">
        <v>5</v>
      </c>
    </row>
    <row r="101" spans="1:93">
      <c r="A101">
        <v>12</v>
      </c>
      <c r="B101" t="s">
        <v>91</v>
      </c>
      <c r="C101" s="2">
        <v>7</v>
      </c>
      <c r="D101" s="2" t="s">
        <v>175</v>
      </c>
      <c r="E101">
        <v>97</v>
      </c>
      <c r="F101" s="2">
        <v>1</v>
      </c>
      <c r="G101" s="2">
        <v>0</v>
      </c>
      <c r="H101" s="2">
        <v>5</v>
      </c>
      <c r="I101" s="2">
        <f t="shared" si="32"/>
        <v>22</v>
      </c>
      <c r="J101" s="2">
        <f t="shared" si="33"/>
        <v>1</v>
      </c>
      <c r="K101" s="4">
        <v>1</v>
      </c>
      <c r="L101" s="2">
        <v>6</v>
      </c>
      <c r="M101" s="2">
        <v>1</v>
      </c>
      <c r="N101" s="2">
        <v>3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1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1</v>
      </c>
      <c r="AB101" s="2">
        <v>1</v>
      </c>
      <c r="AC101" s="2">
        <v>6</v>
      </c>
      <c r="AD101" s="2">
        <v>97</v>
      </c>
      <c r="AE101" s="2">
        <v>97</v>
      </c>
      <c r="AF101" s="2">
        <v>97</v>
      </c>
      <c r="AG101" s="2">
        <v>97</v>
      </c>
      <c r="AH101" s="2">
        <v>97</v>
      </c>
      <c r="AI101" s="2">
        <v>97</v>
      </c>
      <c r="AJ101" s="2">
        <v>97</v>
      </c>
      <c r="AK101" s="2">
        <v>97</v>
      </c>
      <c r="AL101" s="2">
        <v>97</v>
      </c>
      <c r="AM101" s="2">
        <v>97</v>
      </c>
      <c r="AN101" s="2">
        <v>97</v>
      </c>
      <c r="AO101" s="2">
        <v>97</v>
      </c>
      <c r="AP101" s="2">
        <v>1</v>
      </c>
      <c r="AQ101" s="2">
        <v>1</v>
      </c>
      <c r="AR101" s="2"/>
      <c r="AS101" s="2">
        <v>5</v>
      </c>
      <c r="AT101" s="2"/>
      <c r="AU101" s="2">
        <f t="shared" si="34"/>
        <v>1665</v>
      </c>
      <c r="AV101" s="2">
        <f t="shared" si="35"/>
        <v>1665</v>
      </c>
      <c r="AW101" s="1">
        <f t="shared" si="31"/>
        <v>302.72727272727275</v>
      </c>
      <c r="AX101" s="2"/>
      <c r="AY101" s="2">
        <v>1</v>
      </c>
      <c r="AZ101" s="2"/>
      <c r="BA101" s="2">
        <f t="shared" si="36"/>
        <v>333</v>
      </c>
      <c r="BB101" s="2">
        <f t="shared" si="37"/>
        <v>333</v>
      </c>
      <c r="BC101" s="2">
        <v>0</v>
      </c>
      <c r="BD101" s="2">
        <v>98</v>
      </c>
      <c r="BE101" s="2">
        <v>5</v>
      </c>
      <c r="BF101" s="4">
        <f t="shared" si="38"/>
        <v>5</v>
      </c>
      <c r="BG101" s="2">
        <v>1</v>
      </c>
      <c r="BH101" s="5">
        <f t="shared" si="39"/>
        <v>1</v>
      </c>
      <c r="BI101" s="2">
        <v>0</v>
      </c>
      <c r="BJ101" s="2">
        <v>4</v>
      </c>
      <c r="BK101" s="2">
        <v>0</v>
      </c>
      <c r="BL101" t="s">
        <v>83</v>
      </c>
      <c r="BM101" s="2">
        <f t="shared" si="40"/>
        <v>1</v>
      </c>
      <c r="BN101" s="2">
        <v>0</v>
      </c>
      <c r="BO101" s="2">
        <v>99997</v>
      </c>
      <c r="BP101" s="2">
        <v>2</v>
      </c>
      <c r="BQ101" s="2">
        <v>97</v>
      </c>
      <c r="BR101" s="2">
        <v>0</v>
      </c>
      <c r="BS101" s="2">
        <v>0</v>
      </c>
      <c r="BT101" s="2">
        <v>97</v>
      </c>
      <c r="BU101" s="2">
        <v>0</v>
      </c>
      <c r="BV101" s="2">
        <v>0</v>
      </c>
      <c r="BW101" s="2">
        <v>0</v>
      </c>
      <c r="BX101" s="2">
        <v>1</v>
      </c>
      <c r="BY101" s="2">
        <v>0</v>
      </c>
      <c r="BZ101" s="2">
        <v>0</v>
      </c>
      <c r="CA101" s="2">
        <v>0</v>
      </c>
      <c r="CB101" s="2">
        <v>0</v>
      </c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>
        <v>0</v>
      </c>
      <c r="CJ101" s="2">
        <v>0</v>
      </c>
      <c r="CK101" s="2">
        <v>97</v>
      </c>
      <c r="CL101" s="2">
        <v>97</v>
      </c>
      <c r="CM101" s="2">
        <v>98</v>
      </c>
      <c r="CN101" s="2">
        <v>5</v>
      </c>
      <c r="CO101" s="2">
        <v>99</v>
      </c>
    </row>
    <row r="102" spans="1:93">
      <c r="A102">
        <v>11</v>
      </c>
      <c r="B102" t="s">
        <v>91</v>
      </c>
      <c r="C102" s="2">
        <v>7</v>
      </c>
      <c r="D102" s="2" t="s">
        <v>175</v>
      </c>
      <c r="E102">
        <v>97</v>
      </c>
      <c r="F102" s="2">
        <v>0</v>
      </c>
      <c r="G102" s="2">
        <v>1</v>
      </c>
      <c r="H102" s="2">
        <v>6</v>
      </c>
      <c r="I102" s="2">
        <f t="shared" si="32"/>
        <v>16.5</v>
      </c>
      <c r="J102" s="2">
        <f t="shared" si="33"/>
        <v>0.75</v>
      </c>
      <c r="K102" s="4">
        <v>0.75</v>
      </c>
      <c r="L102" s="2">
        <v>6</v>
      </c>
      <c r="M102" s="2">
        <v>1</v>
      </c>
      <c r="N102" s="2">
        <v>1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1</v>
      </c>
      <c r="U102" s="2">
        <v>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1</v>
      </c>
      <c r="AC102" s="2">
        <v>6</v>
      </c>
      <c r="AD102" s="2">
        <v>97</v>
      </c>
      <c r="AE102" s="2">
        <v>97</v>
      </c>
      <c r="AF102" s="2">
        <v>97</v>
      </c>
      <c r="AG102" s="2">
        <v>97</v>
      </c>
      <c r="AH102" s="2">
        <v>97</v>
      </c>
      <c r="AI102" s="2">
        <v>97</v>
      </c>
      <c r="AJ102" s="2">
        <v>97</v>
      </c>
      <c r="AK102" s="2">
        <v>97</v>
      </c>
      <c r="AL102" s="2">
        <v>97</v>
      </c>
      <c r="AM102" s="2">
        <v>97</v>
      </c>
      <c r="AN102" s="2">
        <v>97</v>
      </c>
      <c r="AO102" s="2">
        <v>97</v>
      </c>
      <c r="AP102" s="2">
        <v>1</v>
      </c>
      <c r="AQ102" s="2">
        <v>1</v>
      </c>
      <c r="AR102" s="2">
        <v>20</v>
      </c>
      <c r="AS102" s="2"/>
      <c r="AT102" s="2"/>
      <c r="AU102" s="2">
        <f t="shared" si="34"/>
        <v>20</v>
      </c>
      <c r="AV102" s="2">
        <f t="shared" si="35"/>
        <v>20</v>
      </c>
      <c r="AW102" s="1">
        <f t="shared" si="31"/>
        <v>3.6363636363636362</v>
      </c>
      <c r="AX102" s="2">
        <v>5</v>
      </c>
      <c r="AY102" s="2"/>
      <c r="AZ102" s="2"/>
      <c r="BA102" s="2">
        <f t="shared" si="36"/>
        <v>5</v>
      </c>
      <c r="BB102" s="2">
        <f t="shared" si="37"/>
        <v>5</v>
      </c>
      <c r="BC102" s="2">
        <v>1</v>
      </c>
      <c r="BD102" s="2">
        <v>1</v>
      </c>
      <c r="BE102" s="2">
        <v>12</v>
      </c>
      <c r="BF102" s="4">
        <f t="shared" si="38"/>
        <v>12</v>
      </c>
      <c r="BG102" s="2">
        <v>3</v>
      </c>
      <c r="BH102" s="5">
        <f t="shared" si="39"/>
        <v>2.25</v>
      </c>
      <c r="BI102" s="2">
        <v>1</v>
      </c>
      <c r="BJ102" s="2">
        <v>5</v>
      </c>
      <c r="BK102" s="2">
        <v>0</v>
      </c>
      <c r="BL102" t="s">
        <v>83</v>
      </c>
      <c r="BM102" s="2">
        <f t="shared" si="40"/>
        <v>1</v>
      </c>
      <c r="BN102" s="2">
        <v>0</v>
      </c>
      <c r="BO102" s="2">
        <v>99997</v>
      </c>
      <c r="BP102" s="2">
        <v>1</v>
      </c>
      <c r="BQ102" s="2">
        <v>97</v>
      </c>
      <c r="BR102" s="2">
        <v>1</v>
      </c>
      <c r="BS102" s="2">
        <v>0</v>
      </c>
      <c r="BT102" s="2">
        <v>97</v>
      </c>
      <c r="BU102" s="2">
        <v>1</v>
      </c>
      <c r="BV102" s="2">
        <v>1</v>
      </c>
      <c r="BW102" s="2">
        <v>0</v>
      </c>
      <c r="BX102" s="2">
        <v>0</v>
      </c>
      <c r="BY102" s="2">
        <v>1</v>
      </c>
      <c r="BZ102" s="2">
        <v>0</v>
      </c>
      <c r="CA102" s="2">
        <v>0</v>
      </c>
      <c r="CB102" s="2">
        <v>0</v>
      </c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>
        <v>0</v>
      </c>
      <c r="CJ102" s="2">
        <v>0</v>
      </c>
      <c r="CK102" s="2" t="s">
        <v>92</v>
      </c>
      <c r="CL102" s="2">
        <v>97</v>
      </c>
      <c r="CM102" s="2">
        <v>6</v>
      </c>
      <c r="CN102" s="2">
        <v>2</v>
      </c>
      <c r="CO102" s="2">
        <v>1</v>
      </c>
    </row>
    <row r="103" spans="1:93">
      <c r="A103">
        <v>10</v>
      </c>
      <c r="B103" t="s">
        <v>85</v>
      </c>
      <c r="C103" s="2">
        <v>14</v>
      </c>
      <c r="D103" s="2" t="s">
        <v>167</v>
      </c>
      <c r="E103">
        <v>97</v>
      </c>
      <c r="F103" s="2">
        <v>1</v>
      </c>
      <c r="G103" s="2">
        <v>1</v>
      </c>
      <c r="H103" s="2">
        <v>5</v>
      </c>
      <c r="I103" s="2">
        <f t="shared" si="32"/>
        <v>22</v>
      </c>
      <c r="J103" s="2">
        <f t="shared" si="33"/>
        <v>1</v>
      </c>
      <c r="K103" s="4">
        <v>1</v>
      </c>
      <c r="L103" s="2">
        <v>6</v>
      </c>
      <c r="M103" s="2">
        <v>1</v>
      </c>
      <c r="N103" s="2">
        <v>3</v>
      </c>
      <c r="O103" s="2">
        <v>0</v>
      </c>
      <c r="P103" s="2">
        <v>0</v>
      </c>
      <c r="Q103" s="2">
        <v>0</v>
      </c>
      <c r="R103" s="2">
        <v>0</v>
      </c>
      <c r="S103" s="2">
        <v>1</v>
      </c>
      <c r="T103" s="2">
        <v>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1</v>
      </c>
      <c r="AC103" s="2">
        <v>6</v>
      </c>
      <c r="AD103" s="2">
        <v>97</v>
      </c>
      <c r="AE103" s="2">
        <v>97</v>
      </c>
      <c r="AF103" s="2">
        <v>97</v>
      </c>
      <c r="AG103" s="2">
        <v>97</v>
      </c>
      <c r="AH103" s="2">
        <v>97</v>
      </c>
      <c r="AI103" s="2">
        <v>97</v>
      </c>
      <c r="AJ103" s="2">
        <v>97</v>
      </c>
      <c r="AK103" s="2">
        <v>97</v>
      </c>
      <c r="AL103" s="2">
        <v>97</v>
      </c>
      <c r="AM103" s="2">
        <v>97</v>
      </c>
      <c r="AN103" s="2">
        <v>97</v>
      </c>
      <c r="AO103" s="2">
        <v>97</v>
      </c>
      <c r="AP103" s="2">
        <v>1</v>
      </c>
      <c r="AQ103" s="2">
        <v>5</v>
      </c>
      <c r="AR103" s="2">
        <v>35</v>
      </c>
      <c r="AS103" s="2"/>
      <c r="AT103" s="2"/>
      <c r="AU103" s="2">
        <f t="shared" si="34"/>
        <v>35</v>
      </c>
      <c r="AV103" s="2">
        <f t="shared" si="35"/>
        <v>35</v>
      </c>
      <c r="AW103" s="1">
        <f t="shared" si="31"/>
        <v>6.3636363636363633</v>
      </c>
      <c r="AX103" s="2">
        <v>7</v>
      </c>
      <c r="AY103" s="2"/>
      <c r="AZ103" s="2"/>
      <c r="BA103" s="2">
        <f t="shared" si="36"/>
        <v>7</v>
      </c>
      <c r="BB103" s="2">
        <f t="shared" si="37"/>
        <v>7</v>
      </c>
      <c r="BC103" s="2">
        <v>0</v>
      </c>
      <c r="BD103" s="2">
        <v>1</v>
      </c>
      <c r="BE103" s="2">
        <v>5</v>
      </c>
      <c r="BF103" s="4">
        <f t="shared" si="38"/>
        <v>5</v>
      </c>
      <c r="BG103" s="2">
        <v>1</v>
      </c>
      <c r="BH103" s="5">
        <f t="shared" si="39"/>
        <v>1</v>
      </c>
      <c r="BI103" s="2">
        <v>0</v>
      </c>
      <c r="BJ103" s="2">
        <v>5</v>
      </c>
      <c r="BK103" s="2">
        <v>0</v>
      </c>
      <c r="BL103" t="s">
        <v>83</v>
      </c>
      <c r="BM103" s="2">
        <f t="shared" si="40"/>
        <v>1</v>
      </c>
      <c r="BN103" s="2">
        <v>1</v>
      </c>
      <c r="BO103" s="2">
        <v>15</v>
      </c>
      <c r="BP103" s="2">
        <v>1</v>
      </c>
      <c r="BQ103" s="2">
        <v>97</v>
      </c>
      <c r="BR103" s="2">
        <v>0</v>
      </c>
      <c r="BS103" s="2">
        <v>0</v>
      </c>
      <c r="BT103" s="2">
        <v>97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1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97</v>
      </c>
      <c r="CL103" s="2">
        <v>97</v>
      </c>
      <c r="CM103" s="2">
        <v>99</v>
      </c>
      <c r="CN103" s="2">
        <v>99</v>
      </c>
      <c r="CO103" s="2">
        <v>99</v>
      </c>
    </row>
    <row r="104" spans="1:93">
      <c r="A104">
        <v>9</v>
      </c>
      <c r="B104" t="s">
        <v>90</v>
      </c>
      <c r="C104" s="2">
        <v>10</v>
      </c>
      <c r="D104" s="2" t="s">
        <v>163</v>
      </c>
      <c r="E104">
        <v>97</v>
      </c>
      <c r="F104" s="2">
        <v>1</v>
      </c>
      <c r="G104" s="2">
        <v>1</v>
      </c>
      <c r="H104" s="2">
        <v>6</v>
      </c>
      <c r="I104" s="2">
        <f t="shared" si="32"/>
        <v>16.5</v>
      </c>
      <c r="J104" s="2">
        <f t="shared" si="33"/>
        <v>0.75</v>
      </c>
      <c r="K104" s="4">
        <v>0.75</v>
      </c>
      <c r="L104" s="2">
        <v>6</v>
      </c>
      <c r="M104" s="2">
        <v>1</v>
      </c>
      <c r="N104" s="2">
        <v>3</v>
      </c>
      <c r="O104" s="2">
        <v>0</v>
      </c>
      <c r="P104" s="2">
        <v>0</v>
      </c>
      <c r="Q104" s="2">
        <v>1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1</v>
      </c>
      <c r="AB104" s="2">
        <v>0</v>
      </c>
      <c r="AC104" s="2">
        <v>6</v>
      </c>
      <c r="AD104" s="2">
        <v>97</v>
      </c>
      <c r="AE104" s="2">
        <v>97</v>
      </c>
      <c r="AF104" s="2">
        <v>97</v>
      </c>
      <c r="AG104" s="2">
        <v>97</v>
      </c>
      <c r="AH104" s="2">
        <v>97</v>
      </c>
      <c r="AI104" s="2">
        <v>97</v>
      </c>
      <c r="AJ104" s="2">
        <v>97</v>
      </c>
      <c r="AK104" s="2">
        <v>97</v>
      </c>
      <c r="AL104" s="2">
        <v>97</v>
      </c>
      <c r="AM104" s="2">
        <v>97</v>
      </c>
      <c r="AN104" s="2">
        <v>97</v>
      </c>
      <c r="AO104" s="2">
        <v>97</v>
      </c>
      <c r="AP104" s="2">
        <v>1</v>
      </c>
      <c r="AQ104" s="2">
        <v>1</v>
      </c>
      <c r="AR104" s="2"/>
      <c r="AS104" s="2">
        <v>4</v>
      </c>
      <c r="AT104" s="2"/>
      <c r="AU104" s="2">
        <f t="shared" si="34"/>
        <v>1332</v>
      </c>
      <c r="AV104" s="2">
        <f t="shared" si="35"/>
        <v>1332</v>
      </c>
      <c r="AW104" s="1">
        <f t="shared" si="31"/>
        <v>242.18181818181819</v>
      </c>
      <c r="AX104" s="2"/>
      <c r="AY104" s="2">
        <v>1</v>
      </c>
      <c r="AZ104" s="2"/>
      <c r="BA104" s="2">
        <f t="shared" si="36"/>
        <v>333</v>
      </c>
      <c r="BB104" s="2">
        <f t="shared" si="37"/>
        <v>333</v>
      </c>
      <c r="BC104" s="2">
        <v>1</v>
      </c>
      <c r="BD104" s="2">
        <v>1</v>
      </c>
      <c r="BE104" s="2">
        <v>3</v>
      </c>
      <c r="BF104" s="4">
        <f t="shared" si="38"/>
        <v>3</v>
      </c>
      <c r="BG104" s="2">
        <v>1</v>
      </c>
      <c r="BH104" s="5">
        <f t="shared" si="39"/>
        <v>0.75</v>
      </c>
      <c r="BI104" s="2">
        <v>1</v>
      </c>
      <c r="BJ104" s="2">
        <v>5</v>
      </c>
      <c r="BK104" s="2">
        <v>0</v>
      </c>
      <c r="BL104" t="s">
        <v>83</v>
      </c>
      <c r="BM104" s="2">
        <f t="shared" si="40"/>
        <v>1</v>
      </c>
      <c r="BN104" s="2">
        <v>1</v>
      </c>
      <c r="BO104" s="2">
        <v>20</v>
      </c>
      <c r="BP104" s="2">
        <v>3</v>
      </c>
      <c r="BQ104" s="2">
        <v>97</v>
      </c>
      <c r="BR104" s="2">
        <v>1</v>
      </c>
      <c r="BS104" s="2">
        <v>0</v>
      </c>
      <c r="BT104" s="2">
        <v>97</v>
      </c>
      <c r="BU104" s="2">
        <v>0</v>
      </c>
      <c r="BV104" s="2">
        <v>0</v>
      </c>
      <c r="BW104" s="2">
        <v>0</v>
      </c>
      <c r="BX104" s="2">
        <v>1</v>
      </c>
      <c r="BY104" s="2">
        <v>0</v>
      </c>
      <c r="BZ104" s="2">
        <v>0</v>
      </c>
      <c r="CA104" s="2">
        <v>0</v>
      </c>
      <c r="CB104" s="2">
        <v>0</v>
      </c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>
        <v>0</v>
      </c>
      <c r="CJ104" s="2">
        <v>0</v>
      </c>
      <c r="CK104" s="2">
        <v>99</v>
      </c>
      <c r="CL104" s="2">
        <v>99</v>
      </c>
      <c r="CM104" s="2">
        <v>98</v>
      </c>
      <c r="CN104" s="2">
        <v>4</v>
      </c>
      <c r="CO104" s="2">
        <v>98</v>
      </c>
    </row>
    <row r="105" spans="1:93">
      <c r="A105">
        <v>7</v>
      </c>
      <c r="B105" t="s">
        <v>81</v>
      </c>
      <c r="C105" s="2">
        <v>18</v>
      </c>
      <c r="D105" s="2" t="s">
        <v>173</v>
      </c>
      <c r="E105" t="s">
        <v>89</v>
      </c>
      <c r="F105" s="2">
        <v>1</v>
      </c>
      <c r="G105" s="2">
        <v>1</v>
      </c>
      <c r="H105" s="2">
        <v>6</v>
      </c>
      <c r="I105" s="2">
        <f t="shared" si="32"/>
        <v>16.5</v>
      </c>
      <c r="J105" s="2">
        <f t="shared" si="33"/>
        <v>0.75</v>
      </c>
      <c r="K105" s="4">
        <v>0.75</v>
      </c>
      <c r="L105" s="2">
        <v>6</v>
      </c>
      <c r="M105" s="2">
        <v>0</v>
      </c>
      <c r="N105" s="2">
        <v>3</v>
      </c>
      <c r="O105" s="2">
        <v>0</v>
      </c>
      <c r="P105" s="2">
        <v>0</v>
      </c>
      <c r="Q105" s="2">
        <v>0</v>
      </c>
      <c r="R105" s="2">
        <v>0</v>
      </c>
      <c r="S105" s="2">
        <v>1</v>
      </c>
      <c r="T105" s="2">
        <v>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1</v>
      </c>
      <c r="AC105" s="2">
        <v>6</v>
      </c>
      <c r="AD105" s="2">
        <v>97</v>
      </c>
      <c r="AE105" s="2">
        <v>97</v>
      </c>
      <c r="AF105" s="2">
        <v>97</v>
      </c>
      <c r="AG105" s="2">
        <v>97</v>
      </c>
      <c r="AH105" s="2">
        <v>97</v>
      </c>
      <c r="AI105" s="2">
        <v>97</v>
      </c>
      <c r="AJ105" s="2">
        <v>97</v>
      </c>
      <c r="AK105" s="2">
        <v>97</v>
      </c>
      <c r="AL105" s="2">
        <v>97</v>
      </c>
      <c r="AM105" s="2">
        <v>97</v>
      </c>
      <c r="AN105" s="2">
        <v>97</v>
      </c>
      <c r="AO105" s="2">
        <v>97</v>
      </c>
      <c r="AP105" s="2">
        <v>1</v>
      </c>
      <c r="AQ105" s="2">
        <v>6</v>
      </c>
      <c r="AR105" s="2"/>
      <c r="AS105" s="2"/>
      <c r="AT105" s="2">
        <v>2</v>
      </c>
      <c r="AU105" s="2">
        <f t="shared" si="34"/>
        <v>666</v>
      </c>
      <c r="AV105" s="2">
        <f t="shared" si="35"/>
        <v>666</v>
      </c>
      <c r="AW105" s="1">
        <f t="shared" si="31"/>
        <v>121.09090909090909</v>
      </c>
      <c r="AX105" s="2"/>
      <c r="AY105" s="2"/>
      <c r="AZ105" s="2">
        <v>0.5</v>
      </c>
      <c r="BA105" s="2">
        <f t="shared" si="36"/>
        <v>166.5</v>
      </c>
      <c r="BB105" s="2">
        <f t="shared" si="37"/>
        <v>166.5</v>
      </c>
      <c r="BC105" s="2">
        <v>0</v>
      </c>
      <c r="BD105" s="2">
        <v>1</v>
      </c>
      <c r="BE105" s="2">
        <v>40</v>
      </c>
      <c r="BF105" s="4">
        <f t="shared" si="38"/>
        <v>40</v>
      </c>
      <c r="BG105" s="2">
        <v>10</v>
      </c>
      <c r="BH105" s="5">
        <f t="shared" si="39"/>
        <v>7.5</v>
      </c>
      <c r="BI105" s="2">
        <v>0</v>
      </c>
      <c r="BJ105" s="2">
        <v>5</v>
      </c>
      <c r="BK105" s="2">
        <v>0</v>
      </c>
      <c r="BL105" t="s">
        <v>83</v>
      </c>
      <c r="BM105" s="2">
        <f t="shared" si="40"/>
        <v>1</v>
      </c>
      <c r="BN105" s="2">
        <v>1</v>
      </c>
      <c r="BO105" s="2">
        <v>30</v>
      </c>
      <c r="BP105" s="2">
        <v>3</v>
      </c>
      <c r="BQ105" s="2">
        <v>97</v>
      </c>
      <c r="BR105" s="2">
        <v>1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0</v>
      </c>
      <c r="BY105" s="2">
        <v>0</v>
      </c>
      <c r="BZ105" s="2">
        <v>0</v>
      </c>
      <c r="CA105" s="2">
        <v>0</v>
      </c>
      <c r="CB105" s="2">
        <v>0</v>
      </c>
      <c r="CC105" s="2">
        <v>0</v>
      </c>
      <c r="CD105" s="2">
        <v>0</v>
      </c>
      <c r="CE105" s="2">
        <v>0</v>
      </c>
      <c r="CF105" s="2">
        <v>0</v>
      </c>
      <c r="CG105" s="2">
        <v>0</v>
      </c>
      <c r="CH105" s="2">
        <v>0</v>
      </c>
      <c r="CI105" s="2">
        <v>0</v>
      </c>
      <c r="CJ105" s="2">
        <v>0</v>
      </c>
      <c r="CK105" s="2">
        <v>0</v>
      </c>
      <c r="CL105" s="2">
        <v>99</v>
      </c>
      <c r="CM105" s="2">
        <v>98</v>
      </c>
      <c r="CN105" s="2">
        <v>6</v>
      </c>
      <c r="CO105" s="2">
        <v>4</v>
      </c>
    </row>
    <row r="106" spans="1:93">
      <c r="A106">
        <v>6</v>
      </c>
      <c r="B106" t="s">
        <v>87</v>
      </c>
      <c r="C106" s="2">
        <v>18</v>
      </c>
      <c r="D106" s="2" t="s">
        <v>173</v>
      </c>
      <c r="E106">
        <v>97</v>
      </c>
      <c r="F106" s="2">
        <v>1</v>
      </c>
      <c r="G106" s="2">
        <v>1</v>
      </c>
      <c r="H106" s="2">
        <v>7</v>
      </c>
      <c r="I106" s="2">
        <f t="shared" si="32"/>
        <v>6.6</v>
      </c>
      <c r="J106" s="2">
        <f t="shared" si="33"/>
        <v>0.3</v>
      </c>
      <c r="K106" s="4">
        <v>0.3</v>
      </c>
      <c r="L106" s="2">
        <v>6</v>
      </c>
      <c r="M106" s="2">
        <v>1</v>
      </c>
      <c r="N106" s="2">
        <v>3</v>
      </c>
      <c r="O106" s="2">
        <v>0</v>
      </c>
      <c r="P106" s="2">
        <v>1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1</v>
      </c>
      <c r="AB106" s="2">
        <v>0</v>
      </c>
      <c r="AC106" s="2">
        <v>7</v>
      </c>
      <c r="AD106" s="2">
        <v>97</v>
      </c>
      <c r="AE106" s="2">
        <v>97</v>
      </c>
      <c r="AF106" s="2">
        <v>97</v>
      </c>
      <c r="AG106" s="2">
        <v>97</v>
      </c>
      <c r="AH106" s="2">
        <v>97</v>
      </c>
      <c r="AI106" s="2">
        <v>97</v>
      </c>
      <c r="AJ106" s="2">
        <v>97</v>
      </c>
      <c r="AK106" s="2">
        <v>97</v>
      </c>
      <c r="AL106" s="2">
        <v>97</v>
      </c>
      <c r="AM106" s="2">
        <v>97</v>
      </c>
      <c r="AN106" s="2">
        <v>97</v>
      </c>
      <c r="AO106" s="2">
        <v>97</v>
      </c>
      <c r="AP106" s="2">
        <v>1</v>
      </c>
      <c r="AQ106" s="2">
        <v>6</v>
      </c>
      <c r="AR106" s="2">
        <v>100</v>
      </c>
      <c r="AS106" s="2"/>
      <c r="AT106" s="2"/>
      <c r="AU106" s="2">
        <f t="shared" si="34"/>
        <v>100</v>
      </c>
      <c r="AV106" s="2">
        <f t="shared" si="35"/>
        <v>100</v>
      </c>
      <c r="AW106" s="1">
        <f t="shared" si="31"/>
        <v>18.181818181818183</v>
      </c>
      <c r="AX106" s="2">
        <v>100</v>
      </c>
      <c r="AY106" s="2"/>
      <c r="AZ106" s="2"/>
      <c r="BA106" s="2">
        <f t="shared" si="36"/>
        <v>100</v>
      </c>
      <c r="BB106" s="2">
        <f t="shared" si="37"/>
        <v>100</v>
      </c>
      <c r="BC106" s="2">
        <v>1</v>
      </c>
      <c r="BD106" s="2">
        <v>98</v>
      </c>
      <c r="BE106" s="2">
        <v>1</v>
      </c>
      <c r="BF106" s="4">
        <f t="shared" si="38"/>
        <v>1</v>
      </c>
      <c r="BG106" s="2">
        <v>1</v>
      </c>
      <c r="BH106" s="5">
        <f t="shared" si="39"/>
        <v>0.3</v>
      </c>
      <c r="BI106" s="2">
        <v>98</v>
      </c>
      <c r="BJ106" s="2">
        <v>5</v>
      </c>
      <c r="BK106" s="2">
        <v>0</v>
      </c>
      <c r="BL106" t="s">
        <v>83</v>
      </c>
      <c r="BM106" s="2">
        <f t="shared" si="40"/>
        <v>1</v>
      </c>
      <c r="BN106" s="2">
        <v>1</v>
      </c>
      <c r="BO106" s="2">
        <v>30</v>
      </c>
      <c r="BP106" s="2">
        <v>3</v>
      </c>
      <c r="BQ106" s="2">
        <v>97</v>
      </c>
      <c r="BR106" s="2">
        <v>1</v>
      </c>
      <c r="BS106" s="2">
        <v>0</v>
      </c>
      <c r="BT106" s="2">
        <v>97</v>
      </c>
      <c r="BU106" s="2">
        <v>1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2">
        <v>0</v>
      </c>
      <c r="CB106" s="2">
        <v>0</v>
      </c>
      <c r="CC106" s="2">
        <v>0</v>
      </c>
      <c r="CD106" s="2">
        <v>0</v>
      </c>
      <c r="CE106" s="2">
        <v>0</v>
      </c>
      <c r="CF106" s="2">
        <v>0</v>
      </c>
      <c r="CG106" s="2">
        <v>0</v>
      </c>
      <c r="CH106" s="2">
        <v>0</v>
      </c>
      <c r="CI106" s="2">
        <v>0</v>
      </c>
      <c r="CJ106" s="2">
        <v>0</v>
      </c>
      <c r="CK106" s="2" t="s">
        <v>88</v>
      </c>
      <c r="CL106" s="2">
        <v>99</v>
      </c>
      <c r="CM106" s="2">
        <v>98</v>
      </c>
      <c r="CN106" s="2">
        <v>6</v>
      </c>
      <c r="CO106" s="2">
        <v>99</v>
      </c>
    </row>
    <row r="107" spans="1:93">
      <c r="A107">
        <v>5</v>
      </c>
      <c r="B107" t="s">
        <v>85</v>
      </c>
      <c r="C107" s="2">
        <v>15</v>
      </c>
      <c r="D107" s="2" t="s">
        <v>174</v>
      </c>
      <c r="E107">
        <v>97</v>
      </c>
      <c r="F107" s="2">
        <v>1</v>
      </c>
      <c r="G107" s="2">
        <v>1</v>
      </c>
      <c r="H107" s="2">
        <v>7</v>
      </c>
      <c r="I107" s="2">
        <f t="shared" si="32"/>
        <v>6.6</v>
      </c>
      <c r="J107" s="2">
        <f t="shared" si="33"/>
        <v>0.3</v>
      </c>
      <c r="K107" s="4">
        <v>0.3</v>
      </c>
      <c r="L107" s="2">
        <v>7</v>
      </c>
      <c r="M107" s="2">
        <v>1</v>
      </c>
      <c r="N107" s="2">
        <v>3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1</v>
      </c>
      <c r="AB107" s="2">
        <v>1</v>
      </c>
      <c r="AC107" s="2">
        <v>6</v>
      </c>
      <c r="AD107" s="2">
        <v>97</v>
      </c>
      <c r="AE107" s="2">
        <v>97</v>
      </c>
      <c r="AF107" s="2">
        <v>97</v>
      </c>
      <c r="AG107" s="2">
        <v>97</v>
      </c>
      <c r="AH107" s="2">
        <v>97</v>
      </c>
      <c r="AI107" s="2">
        <v>97</v>
      </c>
      <c r="AJ107" s="2">
        <v>97</v>
      </c>
      <c r="AK107" s="2">
        <v>97</v>
      </c>
      <c r="AL107" s="2">
        <v>97</v>
      </c>
      <c r="AM107" s="2">
        <v>97</v>
      </c>
      <c r="AN107" s="2">
        <v>97</v>
      </c>
      <c r="AO107" s="2">
        <v>97</v>
      </c>
      <c r="AP107" s="2">
        <v>1</v>
      </c>
      <c r="AQ107" s="2">
        <v>4</v>
      </c>
      <c r="AR107" s="2">
        <v>3</v>
      </c>
      <c r="AS107" s="2"/>
      <c r="AT107" s="2"/>
      <c r="AU107" s="2">
        <f t="shared" si="34"/>
        <v>3</v>
      </c>
      <c r="AV107" s="2">
        <f t="shared" si="35"/>
        <v>3</v>
      </c>
      <c r="AW107" s="1">
        <f t="shared" si="31"/>
        <v>0.54545454545454541</v>
      </c>
      <c r="AX107" s="2">
        <v>3</v>
      </c>
      <c r="AY107" s="2"/>
      <c r="AZ107" s="2"/>
      <c r="BA107" s="2">
        <f t="shared" si="36"/>
        <v>3</v>
      </c>
      <c r="BB107" s="2">
        <f t="shared" si="37"/>
        <v>3</v>
      </c>
      <c r="BC107" s="2">
        <v>0</v>
      </c>
      <c r="BD107" s="2">
        <v>1</v>
      </c>
      <c r="BE107" s="2">
        <v>2</v>
      </c>
      <c r="BF107" s="4">
        <f t="shared" si="38"/>
        <v>2</v>
      </c>
      <c r="BG107" s="2">
        <v>2</v>
      </c>
      <c r="BH107" s="5">
        <f t="shared" si="39"/>
        <v>0.6</v>
      </c>
      <c r="BI107" s="2">
        <v>0</v>
      </c>
      <c r="BJ107" s="2">
        <v>7</v>
      </c>
      <c r="BK107" s="2">
        <v>0</v>
      </c>
      <c r="BL107" t="s">
        <v>83</v>
      </c>
      <c r="BM107" s="2">
        <f t="shared" si="40"/>
        <v>1</v>
      </c>
      <c r="BN107" s="2">
        <v>0</v>
      </c>
      <c r="BO107" s="2">
        <v>99997</v>
      </c>
      <c r="BP107" s="2">
        <v>1</v>
      </c>
      <c r="BQ107" s="2">
        <v>97</v>
      </c>
      <c r="BR107" s="2">
        <v>1</v>
      </c>
      <c r="BS107" s="2">
        <v>0</v>
      </c>
      <c r="BT107" s="2">
        <v>97</v>
      </c>
      <c r="BU107" s="2">
        <v>1</v>
      </c>
      <c r="BV107" s="2">
        <v>1</v>
      </c>
      <c r="BW107" s="2">
        <v>1</v>
      </c>
      <c r="BX107" s="2">
        <v>0</v>
      </c>
      <c r="BY107" s="2">
        <v>1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99</v>
      </c>
      <c r="CL107" s="2">
        <v>99</v>
      </c>
      <c r="CM107" s="2">
        <v>98</v>
      </c>
      <c r="CN107" s="2">
        <v>6</v>
      </c>
      <c r="CO107" s="2">
        <v>2</v>
      </c>
    </row>
    <row r="108" spans="1:93">
      <c r="A108">
        <v>4</v>
      </c>
      <c r="B108" t="s">
        <v>85</v>
      </c>
      <c r="C108" s="2">
        <v>2</v>
      </c>
      <c r="D108" s="2" t="s">
        <v>177</v>
      </c>
      <c r="E108">
        <v>97</v>
      </c>
      <c r="F108" s="2">
        <v>1</v>
      </c>
      <c r="G108" s="2">
        <v>1</v>
      </c>
      <c r="H108" s="2">
        <v>4</v>
      </c>
      <c r="I108" s="2">
        <f t="shared" si="32"/>
        <v>55</v>
      </c>
      <c r="J108" s="2">
        <f t="shared" si="33"/>
        <v>2.5</v>
      </c>
      <c r="K108" s="4">
        <v>1</v>
      </c>
      <c r="L108" s="2">
        <v>6</v>
      </c>
      <c r="M108" s="2">
        <v>1</v>
      </c>
      <c r="N108" s="2">
        <v>3</v>
      </c>
      <c r="O108" s="2">
        <v>0</v>
      </c>
      <c r="P108" s="2">
        <v>0</v>
      </c>
      <c r="Q108" s="2">
        <v>0</v>
      </c>
      <c r="R108" s="2">
        <v>0</v>
      </c>
      <c r="S108" s="2">
        <v>1</v>
      </c>
      <c r="T108" s="2">
        <v>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1</v>
      </c>
      <c r="AB108" s="2">
        <v>1</v>
      </c>
      <c r="AC108" s="2">
        <v>4</v>
      </c>
      <c r="AD108" s="2">
        <v>1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3</v>
      </c>
      <c r="AQ108" s="2">
        <v>3</v>
      </c>
      <c r="AR108" s="2">
        <v>100</v>
      </c>
      <c r="AS108" s="2"/>
      <c r="AT108" s="2"/>
      <c r="AU108" s="2">
        <f t="shared" si="34"/>
        <v>100</v>
      </c>
      <c r="AV108" s="2">
        <f t="shared" si="35"/>
        <v>100</v>
      </c>
      <c r="AW108" s="1">
        <f t="shared" si="31"/>
        <v>18.181818181818183</v>
      </c>
      <c r="AX108" s="2">
        <v>20</v>
      </c>
      <c r="AY108" s="2"/>
      <c r="AZ108" s="2"/>
      <c r="BA108" s="2">
        <f t="shared" si="36"/>
        <v>20</v>
      </c>
      <c r="BB108" s="2">
        <f t="shared" si="37"/>
        <v>20</v>
      </c>
      <c r="BC108" s="2">
        <v>1</v>
      </c>
      <c r="BD108" s="2">
        <v>1</v>
      </c>
      <c r="BE108" s="2">
        <v>14</v>
      </c>
      <c r="BF108" s="4">
        <f t="shared" si="38"/>
        <v>14</v>
      </c>
      <c r="BG108" s="2">
        <v>3</v>
      </c>
      <c r="BH108" s="5">
        <f t="shared" si="39"/>
        <v>7.5</v>
      </c>
      <c r="BI108" s="2">
        <v>1</v>
      </c>
      <c r="BJ108" s="2">
        <v>4</v>
      </c>
      <c r="BK108" s="2">
        <v>0</v>
      </c>
      <c r="BL108" t="s">
        <v>83</v>
      </c>
      <c r="BM108" s="2">
        <f t="shared" si="40"/>
        <v>1</v>
      </c>
      <c r="BN108" s="2">
        <v>0</v>
      </c>
      <c r="BO108" s="2">
        <v>99997</v>
      </c>
      <c r="BP108" s="2">
        <v>1</v>
      </c>
      <c r="BQ108" s="2">
        <v>97</v>
      </c>
      <c r="BR108" s="2">
        <v>1</v>
      </c>
      <c r="BS108" s="2">
        <v>0</v>
      </c>
      <c r="BT108" s="2">
        <v>97</v>
      </c>
      <c r="BU108" s="2">
        <v>1</v>
      </c>
      <c r="BV108" s="2">
        <v>1</v>
      </c>
      <c r="BW108" s="2">
        <v>1</v>
      </c>
      <c r="BX108" s="2">
        <v>1</v>
      </c>
      <c r="BY108" s="2">
        <v>1</v>
      </c>
      <c r="BZ108" s="2">
        <v>1</v>
      </c>
      <c r="CA108" s="2">
        <v>1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99</v>
      </c>
      <c r="CL108" s="2">
        <v>99</v>
      </c>
      <c r="CM108" s="2">
        <v>98</v>
      </c>
      <c r="CN108" s="2">
        <v>6</v>
      </c>
      <c r="CO108" s="2">
        <v>3</v>
      </c>
    </row>
    <row r="109" spans="1:93">
      <c r="A109">
        <v>3</v>
      </c>
      <c r="B109" t="s">
        <v>85</v>
      </c>
      <c r="C109" s="2">
        <v>7</v>
      </c>
      <c r="D109" s="2" t="s">
        <v>175</v>
      </c>
      <c r="E109">
        <v>97</v>
      </c>
      <c r="F109" s="2">
        <v>0</v>
      </c>
      <c r="G109" s="2">
        <v>0</v>
      </c>
      <c r="H109" s="2">
        <v>4</v>
      </c>
      <c r="I109" s="2">
        <f t="shared" si="32"/>
        <v>55</v>
      </c>
      <c r="J109" s="2">
        <f t="shared" si="33"/>
        <v>2.5</v>
      </c>
      <c r="K109" s="4">
        <v>1</v>
      </c>
      <c r="L109" s="2">
        <v>6</v>
      </c>
      <c r="M109" s="2">
        <v>0</v>
      </c>
      <c r="N109" s="2">
        <v>3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1</v>
      </c>
      <c r="U109" s="2">
        <v>1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1</v>
      </c>
      <c r="AC109" s="2">
        <v>6</v>
      </c>
      <c r="AD109" s="2">
        <v>97</v>
      </c>
      <c r="AE109" s="2">
        <v>97</v>
      </c>
      <c r="AF109" s="2">
        <v>97</v>
      </c>
      <c r="AG109" s="2">
        <v>97</v>
      </c>
      <c r="AH109" s="2">
        <v>97</v>
      </c>
      <c r="AI109" s="2">
        <v>97</v>
      </c>
      <c r="AJ109" s="2">
        <v>97</v>
      </c>
      <c r="AK109" s="2">
        <v>97</v>
      </c>
      <c r="AL109" s="2">
        <v>97</v>
      </c>
      <c r="AM109" s="2">
        <v>97</v>
      </c>
      <c r="AN109" s="2">
        <v>97</v>
      </c>
      <c r="AO109" s="2">
        <v>97</v>
      </c>
      <c r="AP109" s="2">
        <v>1</v>
      </c>
      <c r="AQ109" s="2">
        <v>7</v>
      </c>
      <c r="AR109" s="2"/>
      <c r="AS109" s="2">
        <v>0.5</v>
      </c>
      <c r="AT109" s="2"/>
      <c r="AU109" s="2">
        <f t="shared" si="34"/>
        <v>166.5</v>
      </c>
      <c r="AV109" s="2">
        <f t="shared" si="35"/>
        <v>166.5</v>
      </c>
      <c r="AW109" s="1">
        <f t="shared" si="31"/>
        <v>30.272727272727273</v>
      </c>
      <c r="AX109" s="2">
        <v>20</v>
      </c>
      <c r="AY109" s="2"/>
      <c r="AZ109" s="2"/>
      <c r="BA109" s="2">
        <f t="shared" si="36"/>
        <v>20</v>
      </c>
      <c r="BB109" s="2">
        <f t="shared" si="37"/>
        <v>20</v>
      </c>
      <c r="BC109" s="2">
        <v>0</v>
      </c>
      <c r="BD109" s="2">
        <v>1</v>
      </c>
      <c r="BE109" s="2">
        <v>9</v>
      </c>
      <c r="BF109" s="4">
        <f t="shared" si="38"/>
        <v>9</v>
      </c>
      <c r="BG109" s="2">
        <v>2.5</v>
      </c>
      <c r="BH109" s="5">
        <f t="shared" si="39"/>
        <v>6.25</v>
      </c>
      <c r="BI109" s="2">
        <v>0</v>
      </c>
      <c r="BJ109" s="2">
        <v>4</v>
      </c>
      <c r="BK109" s="2">
        <v>0</v>
      </c>
      <c r="BL109" t="s">
        <v>83</v>
      </c>
      <c r="BM109" s="2">
        <f t="shared" si="40"/>
        <v>1</v>
      </c>
      <c r="BN109" s="2">
        <v>1</v>
      </c>
      <c r="BO109" s="2">
        <v>50</v>
      </c>
      <c r="BP109" s="2">
        <v>3</v>
      </c>
      <c r="BQ109" s="2">
        <v>97</v>
      </c>
      <c r="BR109" s="2">
        <v>1</v>
      </c>
      <c r="BS109" s="2">
        <v>0</v>
      </c>
      <c r="BT109" s="2">
        <v>97</v>
      </c>
      <c r="BU109" s="2">
        <v>1</v>
      </c>
      <c r="BV109" s="2">
        <v>1</v>
      </c>
      <c r="BW109" s="2">
        <v>0</v>
      </c>
      <c r="BX109" s="2">
        <v>1</v>
      </c>
      <c r="BY109" s="2">
        <v>1</v>
      </c>
      <c r="BZ109" s="2">
        <v>0</v>
      </c>
      <c r="CA109" s="2">
        <v>0</v>
      </c>
      <c r="CB109" s="2">
        <v>1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99</v>
      </c>
      <c r="CL109" s="2">
        <v>99</v>
      </c>
      <c r="CM109" s="2">
        <v>99</v>
      </c>
      <c r="CN109" s="2">
        <v>6</v>
      </c>
      <c r="CO109" s="2">
        <v>3</v>
      </c>
    </row>
    <row r="110" spans="1:93">
      <c r="A110" s="1">
        <v>1</v>
      </c>
      <c r="B110" t="s">
        <v>81</v>
      </c>
      <c r="C110" s="2">
        <v>15</v>
      </c>
      <c r="D110" s="2" t="s">
        <v>174</v>
      </c>
      <c r="E110">
        <v>97</v>
      </c>
      <c r="F110" s="2">
        <v>0</v>
      </c>
      <c r="G110" s="2">
        <v>0</v>
      </c>
      <c r="H110" s="2">
        <v>4</v>
      </c>
      <c r="I110" s="2">
        <f t="shared" si="32"/>
        <v>55</v>
      </c>
      <c r="J110" s="2">
        <f t="shared" si="33"/>
        <v>2.5</v>
      </c>
      <c r="K110" s="4">
        <v>1</v>
      </c>
      <c r="L110" s="2">
        <v>6</v>
      </c>
      <c r="M110" s="2">
        <v>1</v>
      </c>
      <c r="N110" s="2">
        <v>3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1</v>
      </c>
      <c r="U110" s="2">
        <v>1</v>
      </c>
      <c r="V110" s="2">
        <v>1</v>
      </c>
      <c r="W110" s="2">
        <v>1</v>
      </c>
      <c r="X110" s="2">
        <v>0</v>
      </c>
      <c r="Y110" s="2">
        <v>0</v>
      </c>
      <c r="Z110" s="2">
        <v>0</v>
      </c>
      <c r="AA110" s="2">
        <v>0</v>
      </c>
      <c r="AB110" s="2">
        <v>1</v>
      </c>
      <c r="AC110" s="2">
        <v>6</v>
      </c>
      <c r="AD110" s="2">
        <v>97</v>
      </c>
      <c r="AE110" s="2">
        <v>97</v>
      </c>
      <c r="AF110" s="2">
        <v>97</v>
      </c>
      <c r="AG110" s="2">
        <v>97</v>
      </c>
      <c r="AH110" s="2">
        <v>97</v>
      </c>
      <c r="AI110" s="2">
        <v>97</v>
      </c>
      <c r="AJ110" s="2">
        <v>97</v>
      </c>
      <c r="AK110" s="2">
        <v>97</v>
      </c>
      <c r="AL110" s="2">
        <v>97</v>
      </c>
      <c r="AM110" s="2">
        <v>97</v>
      </c>
      <c r="AN110" s="2">
        <v>97</v>
      </c>
      <c r="AO110" s="2">
        <v>97</v>
      </c>
      <c r="AP110" s="2">
        <v>1</v>
      </c>
      <c r="AQ110" s="2">
        <v>5</v>
      </c>
      <c r="AR110" s="2">
        <v>60</v>
      </c>
      <c r="AS110" s="2"/>
      <c r="AT110" s="2"/>
      <c r="AU110" s="2">
        <f t="shared" si="34"/>
        <v>60</v>
      </c>
      <c r="AV110" s="2">
        <f t="shared" si="35"/>
        <v>60</v>
      </c>
      <c r="AW110" s="1">
        <f t="shared" si="31"/>
        <v>10.909090909090908</v>
      </c>
      <c r="AX110" s="2">
        <v>5</v>
      </c>
      <c r="AY110" s="2"/>
      <c r="AZ110" s="2"/>
      <c r="BA110" s="2">
        <f t="shared" si="36"/>
        <v>5</v>
      </c>
      <c r="BB110" s="2">
        <f t="shared" si="37"/>
        <v>5</v>
      </c>
      <c r="BC110" s="2">
        <v>0</v>
      </c>
      <c r="BD110" s="2">
        <v>1</v>
      </c>
      <c r="BE110" s="2">
        <v>25</v>
      </c>
      <c r="BF110" s="4">
        <f t="shared" si="38"/>
        <v>25</v>
      </c>
      <c r="BG110" s="2">
        <v>2</v>
      </c>
      <c r="BH110" s="5">
        <f t="shared" si="39"/>
        <v>5</v>
      </c>
      <c r="BI110" s="2">
        <v>1</v>
      </c>
      <c r="BJ110" s="2">
        <v>7</v>
      </c>
      <c r="BK110" s="2">
        <v>0</v>
      </c>
      <c r="BL110" t="s">
        <v>83</v>
      </c>
      <c r="BM110" s="2">
        <f t="shared" si="40"/>
        <v>1</v>
      </c>
      <c r="BN110" s="2">
        <v>1</v>
      </c>
      <c r="BO110" s="2">
        <v>100</v>
      </c>
      <c r="BP110" s="2">
        <v>1</v>
      </c>
      <c r="BQ110" s="2">
        <v>97</v>
      </c>
      <c r="BR110" s="2">
        <v>0</v>
      </c>
      <c r="BS110" s="2">
        <v>0</v>
      </c>
      <c r="BT110" s="2">
        <v>97</v>
      </c>
      <c r="BU110" s="2">
        <v>1</v>
      </c>
      <c r="BV110" s="2">
        <v>1</v>
      </c>
      <c r="BW110" s="2">
        <v>0</v>
      </c>
      <c r="BX110" s="2">
        <v>0</v>
      </c>
      <c r="BY110" s="2">
        <v>1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 t="s">
        <v>84</v>
      </c>
      <c r="CL110" s="2">
        <v>99</v>
      </c>
      <c r="CM110" s="2">
        <v>99</v>
      </c>
      <c r="CN110" s="2">
        <v>99</v>
      </c>
      <c r="CO110" s="2">
        <v>99</v>
      </c>
    </row>
    <row r="111" spans="1:93">
      <c r="C111" s="2"/>
      <c r="D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4"/>
      <c r="BG111" s="2"/>
      <c r="BH111" s="5"/>
      <c r="BI111" s="2"/>
      <c r="BJ111" s="2"/>
      <c r="BK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</row>
    <row r="112" spans="1:93">
      <c r="A112" s="2" t="s">
        <v>170</v>
      </c>
      <c r="F112">
        <f>COUNTIF(F$2:F$110,1)</f>
        <v>65</v>
      </c>
      <c r="G112">
        <f>COUNTIF(G$2:G$110,1)</f>
        <v>56</v>
      </c>
      <c r="H112">
        <f>COUNTIF(H2:H110,"1")</f>
        <v>0</v>
      </c>
      <c r="L112">
        <f t="shared" ref="L112:AQ112" si="41">COUNTIF(L$2:L$110,"1")</f>
        <v>0</v>
      </c>
      <c r="M112">
        <f t="shared" si="41"/>
        <v>42</v>
      </c>
      <c r="N112">
        <f t="shared" si="41"/>
        <v>6</v>
      </c>
      <c r="O112">
        <f t="shared" si="41"/>
        <v>1</v>
      </c>
      <c r="P112">
        <f t="shared" si="41"/>
        <v>3</v>
      </c>
      <c r="Q112">
        <f t="shared" si="41"/>
        <v>6</v>
      </c>
      <c r="R112">
        <f t="shared" si="41"/>
        <v>12</v>
      </c>
      <c r="S112">
        <f t="shared" si="41"/>
        <v>67</v>
      </c>
      <c r="T112">
        <f t="shared" si="41"/>
        <v>59</v>
      </c>
      <c r="U112">
        <f t="shared" si="41"/>
        <v>28</v>
      </c>
      <c r="V112">
        <f t="shared" si="41"/>
        <v>16</v>
      </c>
      <c r="W112">
        <f t="shared" si="41"/>
        <v>15</v>
      </c>
      <c r="X112">
        <f t="shared" si="41"/>
        <v>7</v>
      </c>
      <c r="Y112">
        <f t="shared" si="41"/>
        <v>0</v>
      </c>
      <c r="Z112">
        <f t="shared" si="41"/>
        <v>0</v>
      </c>
      <c r="AA112">
        <f t="shared" si="41"/>
        <v>32</v>
      </c>
      <c r="AB112">
        <f t="shared" si="41"/>
        <v>100</v>
      </c>
      <c r="AC112">
        <f t="shared" si="41"/>
        <v>0</v>
      </c>
      <c r="AD112">
        <f t="shared" si="41"/>
        <v>1</v>
      </c>
      <c r="AE112">
        <f t="shared" si="41"/>
        <v>0</v>
      </c>
      <c r="AF112">
        <f t="shared" si="41"/>
        <v>1</v>
      </c>
      <c r="AG112">
        <f t="shared" si="41"/>
        <v>4</v>
      </c>
      <c r="AH112">
        <f t="shared" si="41"/>
        <v>6</v>
      </c>
      <c r="AI112">
        <f t="shared" si="41"/>
        <v>1</v>
      </c>
      <c r="AJ112">
        <f t="shared" si="41"/>
        <v>1</v>
      </c>
      <c r="AK112">
        <f t="shared" si="41"/>
        <v>0</v>
      </c>
      <c r="AL112">
        <f t="shared" si="41"/>
        <v>0</v>
      </c>
      <c r="AM112">
        <f t="shared" si="41"/>
        <v>0</v>
      </c>
      <c r="AN112">
        <f t="shared" si="41"/>
        <v>0</v>
      </c>
      <c r="AO112">
        <f t="shared" si="41"/>
        <v>0</v>
      </c>
      <c r="AP112">
        <f t="shared" si="41"/>
        <v>82</v>
      </c>
      <c r="AQ112">
        <f t="shared" si="41"/>
        <v>19</v>
      </c>
      <c r="AR112">
        <f>SUM(AR2:AR111)</f>
        <v>10841</v>
      </c>
      <c r="AS112">
        <f>SUM(AS2:AS111)</f>
        <v>118.5</v>
      </c>
      <c r="AV112" s="2">
        <f>SUM(AV2:AV110)</f>
        <v>78107</v>
      </c>
      <c r="AW112" s="15">
        <f>SUM(AW2:AW110)</f>
        <v>14201.27272727273</v>
      </c>
      <c r="BB112" s="2">
        <f>SUM(BB2:BB110)</f>
        <v>35479.5</v>
      </c>
      <c r="BC112">
        <f>COUNTIF(BC$2:BC$110,"1")</f>
        <v>23</v>
      </c>
      <c r="BD112">
        <f>COUNTIF(BD$2:BD$110,"1")</f>
        <v>93</v>
      </c>
      <c r="BE112">
        <f>COUNTIF(BE2:BE110,"&lt;96")</f>
        <v>101</v>
      </c>
      <c r="BF112" s="13">
        <f>AVERAGE(BF2:BF110)</f>
        <v>6.8715596330275233</v>
      </c>
      <c r="BG112" s="12">
        <f>AVERAGEIF(BG2:BG110,"&lt;97")</f>
        <v>2.0728155339805827</v>
      </c>
      <c r="BH112" s="14">
        <f>AVERAGE(BH2:BH110)</f>
        <v>2.1581284403669723</v>
      </c>
      <c r="BI112">
        <f>COUNTIF(BI$2:BI$110,"1")</f>
        <v>35</v>
      </c>
      <c r="BJ112">
        <f>COUNTIF(BJ$2:BJ$110,"1")</f>
        <v>5</v>
      </c>
      <c r="BK112">
        <f>COUNTIF(BK$2:BK$110,"1")</f>
        <v>17</v>
      </c>
      <c r="BL112">
        <f>COUNTIF(BL$2:BL$110,"Dør")</f>
        <v>91</v>
      </c>
      <c r="BM112">
        <f>COUNTIF(BM$2:BM$110,"1")</f>
        <v>91</v>
      </c>
      <c r="BN112">
        <f>COUNTIF(BN$2:BN$110,"1")</f>
        <v>22</v>
      </c>
      <c r="BO112">
        <f>AVERAGEIF(BO2:BO110,"&lt;999")</f>
        <v>66.590909090909093</v>
      </c>
      <c r="BP112">
        <f>COUNTIF(BP$2:BP$110,"1")</f>
        <v>61</v>
      </c>
      <c r="BQ112">
        <f>COUNTIF(BQ1:BQ110,"Egne vogner/bur")</f>
        <v>2</v>
      </c>
      <c r="BR112">
        <f t="shared" ref="BR112:CJ112" si="42">COUNTIF(BR$2:BR$110,"1")</f>
        <v>94</v>
      </c>
      <c r="BS112">
        <f t="shared" si="42"/>
        <v>17</v>
      </c>
      <c r="BT112">
        <f t="shared" si="42"/>
        <v>10</v>
      </c>
      <c r="BU112">
        <f t="shared" si="42"/>
        <v>84</v>
      </c>
      <c r="BV112">
        <f t="shared" si="42"/>
        <v>89</v>
      </c>
      <c r="BW112">
        <f t="shared" si="42"/>
        <v>54</v>
      </c>
      <c r="BX112">
        <f t="shared" si="42"/>
        <v>50</v>
      </c>
      <c r="BY112">
        <f t="shared" si="42"/>
        <v>48</v>
      </c>
      <c r="BZ112">
        <f t="shared" si="42"/>
        <v>4</v>
      </c>
      <c r="CA112">
        <f t="shared" si="42"/>
        <v>7</v>
      </c>
      <c r="CB112">
        <f t="shared" si="42"/>
        <v>8</v>
      </c>
      <c r="CC112">
        <f t="shared" si="42"/>
        <v>2</v>
      </c>
      <c r="CD112">
        <f t="shared" si="42"/>
        <v>0</v>
      </c>
      <c r="CE112">
        <f t="shared" si="42"/>
        <v>0</v>
      </c>
      <c r="CF112">
        <f t="shared" si="42"/>
        <v>1</v>
      </c>
      <c r="CG112">
        <f t="shared" si="42"/>
        <v>1</v>
      </c>
      <c r="CH112">
        <f t="shared" si="42"/>
        <v>0</v>
      </c>
      <c r="CI112">
        <f t="shared" si="42"/>
        <v>0</v>
      </c>
      <c r="CJ112">
        <f t="shared" si="42"/>
        <v>0</v>
      </c>
      <c r="CK112">
        <f>COUNTIF(CK$2:CK$110,"UPS")</f>
        <v>7</v>
      </c>
      <c r="CM112">
        <f>COUNTIF(CM$2:CM$110,"1")</f>
        <v>6</v>
      </c>
      <c r="CN112">
        <f>COUNTIF(CN$2:CN$110,"1")</f>
        <v>5</v>
      </c>
      <c r="CO112">
        <f>COUNTIF(CO$2:CO$110,"1")</f>
        <v>30</v>
      </c>
    </row>
    <row r="113" spans="1:93">
      <c r="B113">
        <v>9</v>
      </c>
      <c r="F113">
        <f>COUNTIF(F$2:F$110,0)</f>
        <v>44</v>
      </c>
      <c r="G113">
        <f>COUNTIF(G$2:G$110,0)</f>
        <v>52</v>
      </c>
      <c r="H113">
        <f>COUNTIF(H2:H110,"2")</f>
        <v>0</v>
      </c>
      <c r="L113">
        <f>COUNTIF(L$2:L$110,"2")</f>
        <v>0</v>
      </c>
      <c r="M113">
        <f>COUNTIF(M$2:M$110,"0")</f>
        <v>66</v>
      </c>
      <c r="N113">
        <f>COUNTIF(N$2:N$110,"2")</f>
        <v>4</v>
      </c>
      <c r="O113">
        <f t="shared" ref="O113:Z113" si="43">COUNTIF(O$2:O$110,97)</f>
        <v>0</v>
      </c>
      <c r="P113">
        <f t="shared" si="43"/>
        <v>0</v>
      </c>
      <c r="Q113">
        <f t="shared" si="43"/>
        <v>0</v>
      </c>
      <c r="R113">
        <f t="shared" si="43"/>
        <v>0</v>
      </c>
      <c r="S113">
        <f t="shared" si="43"/>
        <v>0</v>
      </c>
      <c r="T113">
        <f t="shared" si="43"/>
        <v>0</v>
      </c>
      <c r="U113">
        <f t="shared" si="43"/>
        <v>0</v>
      </c>
      <c r="V113">
        <f t="shared" si="43"/>
        <v>0</v>
      </c>
      <c r="W113">
        <f t="shared" si="43"/>
        <v>0</v>
      </c>
      <c r="X113">
        <f t="shared" si="43"/>
        <v>0</v>
      </c>
      <c r="Y113">
        <f t="shared" si="43"/>
        <v>0</v>
      </c>
      <c r="Z113">
        <f t="shared" si="43"/>
        <v>0</v>
      </c>
      <c r="AA113">
        <f>COUNTIF(AA$2:AA$110,"0")</f>
        <v>69</v>
      </c>
      <c r="AB113">
        <f>COUNTIF(AB$2:AB$110,"0")</f>
        <v>9</v>
      </c>
      <c r="AC113">
        <f>COUNTIF(AC$2:AC$110,"2")</f>
        <v>1</v>
      </c>
      <c r="AD113">
        <f t="shared" ref="AD113:AO113" si="44">COUNTIF(AD$2:AD$110,"0")</f>
        <v>11</v>
      </c>
      <c r="AE113">
        <f t="shared" si="44"/>
        <v>12</v>
      </c>
      <c r="AF113">
        <f t="shared" si="44"/>
        <v>11</v>
      </c>
      <c r="AG113">
        <f t="shared" si="44"/>
        <v>8</v>
      </c>
      <c r="AH113">
        <f t="shared" si="44"/>
        <v>6</v>
      </c>
      <c r="AI113">
        <f t="shared" si="44"/>
        <v>11</v>
      </c>
      <c r="AJ113">
        <f t="shared" si="44"/>
        <v>11</v>
      </c>
      <c r="AK113">
        <f t="shared" si="44"/>
        <v>12</v>
      </c>
      <c r="AL113">
        <f t="shared" si="44"/>
        <v>12</v>
      </c>
      <c r="AM113">
        <f t="shared" si="44"/>
        <v>12</v>
      </c>
      <c r="AN113">
        <f t="shared" si="44"/>
        <v>12</v>
      </c>
      <c r="AO113">
        <f t="shared" si="44"/>
        <v>12</v>
      </c>
      <c r="AP113">
        <f>COUNTIF(AP$2:AP$110,"2")</f>
        <v>8</v>
      </c>
      <c r="AQ113">
        <f>COUNTIF(AQ$2:AQ$110,"2")</f>
        <v>5</v>
      </c>
      <c r="AW113" s="16">
        <f>AW112/1000</f>
        <v>14.20127272727273</v>
      </c>
      <c r="AX113">
        <v>66</v>
      </c>
      <c r="AY113" t="s">
        <v>179</v>
      </c>
      <c r="BC113">
        <f>COUNTIF(BC$2:BC$110,"0")</f>
        <v>85</v>
      </c>
      <c r="BD113">
        <f>COUNTIF(BD$2:BD$110,"0")</f>
        <v>6</v>
      </c>
      <c r="BE113">
        <f>161-BE112</f>
        <v>60</v>
      </c>
      <c r="BF113">
        <f>COUNTIF(BF2:BF110,0)</f>
        <v>8</v>
      </c>
      <c r="BH113" s="9">
        <f>COUNTIF(BH2:BH110,0)</f>
        <v>6</v>
      </c>
      <c r="BI113">
        <f>COUNTIF(BI$2:BI$110,"0")</f>
        <v>61</v>
      </c>
      <c r="BJ113">
        <f>COUNTIF(BJ$2:BJ$110,"2")</f>
        <v>11</v>
      </c>
      <c r="BK113">
        <f>COUNTIF(BK$2:BK$110,"0")</f>
        <v>92</v>
      </c>
      <c r="BL113">
        <f>COUNTIF(BL$2:BL$110,"Bakdør")</f>
        <v>0</v>
      </c>
      <c r="BM113">
        <f>COUNTIF(BM$2:BM$110,"0")</f>
        <v>18</v>
      </c>
      <c r="BN113">
        <f>COUNTIF(BN$2:BN$110,"0")</f>
        <v>85</v>
      </c>
      <c r="BP113">
        <f>COUNTIF(BP$2:BP$110,"2")</f>
        <v>12</v>
      </c>
      <c r="BQ113">
        <f>COUNTIF(BQ2:BQ110,"Direkte fra lift på bil")</f>
        <v>1</v>
      </c>
      <c r="BR113">
        <f>COUNTIF(BR$2:BR$110,"0")</f>
        <v>15</v>
      </c>
      <c r="BS113">
        <f>COUNTIF(BS$2:BS$110,"0")</f>
        <v>92</v>
      </c>
      <c r="BT113">
        <f>COUNTIF(BT$2:BT$110,"2")</f>
        <v>5</v>
      </c>
      <c r="BU113">
        <f t="shared" ref="BU113:CJ113" si="45">COUNTIF(BU$2:BU$110,"0")</f>
        <v>20</v>
      </c>
      <c r="BV113">
        <f t="shared" si="45"/>
        <v>18</v>
      </c>
      <c r="BW113">
        <f t="shared" si="45"/>
        <v>53</v>
      </c>
      <c r="BX113">
        <f t="shared" si="45"/>
        <v>57</v>
      </c>
      <c r="BY113">
        <f t="shared" si="45"/>
        <v>59</v>
      </c>
      <c r="BZ113">
        <f t="shared" si="45"/>
        <v>103</v>
      </c>
      <c r="CA113">
        <f t="shared" si="45"/>
        <v>100</v>
      </c>
      <c r="CB113">
        <f t="shared" si="45"/>
        <v>99</v>
      </c>
      <c r="CC113">
        <f t="shared" si="45"/>
        <v>105</v>
      </c>
      <c r="CD113">
        <f t="shared" si="45"/>
        <v>107</v>
      </c>
      <c r="CE113">
        <f t="shared" si="45"/>
        <v>107</v>
      </c>
      <c r="CF113">
        <f t="shared" si="45"/>
        <v>106</v>
      </c>
      <c r="CG113">
        <f t="shared" si="45"/>
        <v>106</v>
      </c>
      <c r="CH113">
        <f t="shared" si="45"/>
        <v>107</v>
      </c>
      <c r="CI113">
        <f t="shared" si="45"/>
        <v>107</v>
      </c>
      <c r="CJ113">
        <f t="shared" si="45"/>
        <v>107</v>
      </c>
      <c r="CK113">
        <f>COUNTIF(CK$2:CK$110,"Ringnes")</f>
        <v>0</v>
      </c>
      <c r="CM113">
        <f>COUNTIF(CM$2:CM$110,"2")</f>
        <v>0</v>
      </c>
      <c r="CN113">
        <f>COUNTIF(CN$2:CN$110,"2")</f>
        <v>7</v>
      </c>
      <c r="CO113">
        <f>COUNTIF(CO$2:CO$110,"2")</f>
        <v>9</v>
      </c>
    </row>
    <row r="114" spans="1:93">
      <c r="F114">
        <f>COUNTIF(F$2:F$110,97)</f>
        <v>0</v>
      </c>
      <c r="G114">
        <f>COUNTIF(G$2:G$110,97)</f>
        <v>0</v>
      </c>
      <c r="H114">
        <f>COUNTIF(H2:H110,"3")</f>
        <v>4</v>
      </c>
      <c r="L114">
        <f>COUNTIF(L$2:L$110,"3")</f>
        <v>2</v>
      </c>
      <c r="M114">
        <f>COUNTIF(M$2:M$110,97)</f>
        <v>0</v>
      </c>
      <c r="N114">
        <f>COUNTIF(N$2:N$110,"3")</f>
        <v>98</v>
      </c>
      <c r="O114">
        <f t="shared" ref="O114:Z114" si="46">COUNTIF(O$2:O$110,"98")</f>
        <v>1</v>
      </c>
      <c r="P114">
        <f t="shared" si="46"/>
        <v>1</v>
      </c>
      <c r="Q114">
        <f t="shared" si="46"/>
        <v>1</v>
      </c>
      <c r="R114">
        <f t="shared" si="46"/>
        <v>1</v>
      </c>
      <c r="S114">
        <f t="shared" si="46"/>
        <v>1</v>
      </c>
      <c r="T114">
        <f t="shared" si="46"/>
        <v>1</v>
      </c>
      <c r="U114">
        <f t="shared" si="46"/>
        <v>1</v>
      </c>
      <c r="V114">
        <f t="shared" si="46"/>
        <v>1</v>
      </c>
      <c r="W114">
        <f t="shared" si="46"/>
        <v>1</v>
      </c>
      <c r="X114">
        <f t="shared" si="46"/>
        <v>1</v>
      </c>
      <c r="Y114">
        <f t="shared" si="46"/>
        <v>1</v>
      </c>
      <c r="Z114">
        <f t="shared" si="46"/>
        <v>1</v>
      </c>
      <c r="AA114">
        <f>COUNTIF(AA$2:AA$110,"97")</f>
        <v>0</v>
      </c>
      <c r="AB114">
        <f>COUNTIF(AB$2:AB$110,"97")</f>
        <v>0</v>
      </c>
      <c r="AC114">
        <f>COUNTIF(AC$2:AC$110,"3")</f>
        <v>4</v>
      </c>
      <c r="AD114">
        <f t="shared" ref="AD114:AO114" si="47">COUNTIF(AD$2:AD$110,"97")</f>
        <v>97</v>
      </c>
      <c r="AE114">
        <f t="shared" si="47"/>
        <v>97</v>
      </c>
      <c r="AF114">
        <f t="shared" si="47"/>
        <v>97</v>
      </c>
      <c r="AG114">
        <f t="shared" si="47"/>
        <v>97</v>
      </c>
      <c r="AH114">
        <f t="shared" si="47"/>
        <v>97</v>
      </c>
      <c r="AI114">
        <f t="shared" si="47"/>
        <v>97</v>
      </c>
      <c r="AJ114">
        <f t="shared" si="47"/>
        <v>97</v>
      </c>
      <c r="AK114">
        <f t="shared" si="47"/>
        <v>97</v>
      </c>
      <c r="AL114">
        <f t="shared" si="47"/>
        <v>97</v>
      </c>
      <c r="AM114">
        <f t="shared" si="47"/>
        <v>97</v>
      </c>
      <c r="AN114">
        <f t="shared" si="47"/>
        <v>97</v>
      </c>
      <c r="AO114">
        <f t="shared" si="47"/>
        <v>97</v>
      </c>
      <c r="AP114">
        <f>COUNTIF(AP$2:AP$110,"3")</f>
        <v>18</v>
      </c>
      <c r="AQ114">
        <f>COUNTIF(AQ$2:AQ$110,"3")</f>
        <v>7</v>
      </c>
      <c r="AW114" s="16">
        <f>AW112/333</f>
        <v>42.646464646464651</v>
      </c>
      <c r="AX114" s="16">
        <f>AX113/AW114</f>
        <v>1.5476077688299383</v>
      </c>
      <c r="BC114">
        <f>COUNTIF(BC$2:BC$110,"97")</f>
        <v>0</v>
      </c>
      <c r="BD114">
        <f>COUNTIF(BD$2:BD$110,"97")</f>
        <v>2</v>
      </c>
      <c r="BG114" s="12">
        <f>BG112/161</f>
        <v>1.2874630645842128E-2</v>
      </c>
      <c r="BH114" s="10"/>
      <c r="BI114">
        <f>COUNTIF(BI$2:BI$110,"97")</f>
        <v>0</v>
      </c>
      <c r="BJ114">
        <f>COUNTIF(BJ$2:BJ$110,"3")</f>
        <v>12</v>
      </c>
      <c r="BK114">
        <f>COUNTIF(BK$2:BK$110,"97")</f>
        <v>0</v>
      </c>
      <c r="BL114">
        <f>COUNTIF(BL$2:BL$110,"Sidedør")</f>
        <v>1</v>
      </c>
      <c r="BN114">
        <f>COUNTIF(BN$2:BN$110,"97")</f>
        <v>0</v>
      </c>
      <c r="BP114">
        <f>COUNTIF(BP$2:BP$110,"3")</f>
        <v>33</v>
      </c>
      <c r="BQ114">
        <f>COUNTIF(BQ2:BQ110,"Ryggsekk")</f>
        <v>1</v>
      </c>
      <c r="BR114">
        <f>COUNTIF(BR$2:BR$110,"97")</f>
        <v>0</v>
      </c>
      <c r="BS114">
        <f>COUNTIF(BS$2:BS$110,"97")</f>
        <v>0</v>
      </c>
      <c r="BT114">
        <f>COUNTIF(BT$2:BT$110,"3")</f>
        <v>0</v>
      </c>
      <c r="BU114">
        <f t="shared" ref="BU114:CJ114" si="48">COUNTIF(BU$2:BU$110,"97")</f>
        <v>0</v>
      </c>
      <c r="BV114">
        <f t="shared" si="48"/>
        <v>0</v>
      </c>
      <c r="BW114">
        <f t="shared" si="48"/>
        <v>0</v>
      </c>
      <c r="BX114">
        <f t="shared" si="48"/>
        <v>0</v>
      </c>
      <c r="BY114">
        <f t="shared" si="48"/>
        <v>0</v>
      </c>
      <c r="BZ114">
        <f t="shared" si="48"/>
        <v>0</v>
      </c>
      <c r="CA114">
        <f t="shared" si="48"/>
        <v>0</v>
      </c>
      <c r="CB114">
        <f t="shared" si="48"/>
        <v>0</v>
      </c>
      <c r="CC114">
        <f t="shared" si="48"/>
        <v>0</v>
      </c>
      <c r="CD114">
        <f t="shared" si="48"/>
        <v>0</v>
      </c>
      <c r="CE114">
        <f t="shared" si="48"/>
        <v>0</v>
      </c>
      <c r="CF114">
        <f t="shared" si="48"/>
        <v>0</v>
      </c>
      <c r="CG114">
        <f t="shared" si="48"/>
        <v>0</v>
      </c>
      <c r="CH114">
        <f t="shared" si="48"/>
        <v>0</v>
      </c>
      <c r="CI114">
        <f t="shared" si="48"/>
        <v>0</v>
      </c>
      <c r="CJ114">
        <f t="shared" si="48"/>
        <v>0</v>
      </c>
      <c r="CK114">
        <f>COUNTIF(CK$2:CK$110,"Hansa")</f>
        <v>0</v>
      </c>
      <c r="CM114">
        <f>COUNTIF(CM$2:CM$110,"3")</f>
        <v>2</v>
      </c>
      <c r="CN114">
        <f>COUNTIF(CN$2:CN$110,"3")</f>
        <v>3</v>
      </c>
      <c r="CO114">
        <f>COUNTIF(CO$2:CO$110,"3")</f>
        <v>8</v>
      </c>
    </row>
    <row r="115" spans="1:93">
      <c r="D115" s="7"/>
      <c r="F115">
        <f>COUNTIF(F$2:F$110,98)</f>
        <v>0</v>
      </c>
      <c r="G115">
        <f>COUNTIF(G$2:G$110,98)</f>
        <v>1</v>
      </c>
      <c r="H115">
        <f>COUNTIF(H2:H110,"4")</f>
        <v>18</v>
      </c>
      <c r="L115">
        <f>COUNTIF(L$2:L$110,"4")</f>
        <v>4</v>
      </c>
      <c r="M115">
        <f>COUNTIF(M$2:M$110,"98")</f>
        <v>1</v>
      </c>
      <c r="N115">
        <f>COUNTIF(N$2:N$110,97)</f>
        <v>0</v>
      </c>
      <c r="O115">
        <f t="shared" ref="O115:Z115" si="49">COUNTIF(O$2:O$110,"99")</f>
        <v>1</v>
      </c>
      <c r="P115">
        <f t="shared" si="49"/>
        <v>1</v>
      </c>
      <c r="Q115">
        <f t="shared" si="49"/>
        <v>1</v>
      </c>
      <c r="R115">
        <f t="shared" si="49"/>
        <v>1</v>
      </c>
      <c r="S115">
        <f t="shared" si="49"/>
        <v>1</v>
      </c>
      <c r="T115">
        <f t="shared" si="49"/>
        <v>1</v>
      </c>
      <c r="U115">
        <f t="shared" si="49"/>
        <v>1</v>
      </c>
      <c r="V115">
        <f t="shared" si="49"/>
        <v>1</v>
      </c>
      <c r="W115">
        <f t="shared" si="49"/>
        <v>1</v>
      </c>
      <c r="X115">
        <f t="shared" si="49"/>
        <v>1</v>
      </c>
      <c r="Y115">
        <f t="shared" si="49"/>
        <v>1</v>
      </c>
      <c r="Z115">
        <f t="shared" si="49"/>
        <v>1</v>
      </c>
      <c r="AA115">
        <f>COUNTIF(AA$2:AA$110,"98")</f>
        <v>8</v>
      </c>
      <c r="AB115">
        <f>COUNTIF(AB$2:AB$110,"98")</f>
        <v>0</v>
      </c>
      <c r="AC115">
        <f>COUNTIF(AC$2:AC$110,"4")</f>
        <v>6</v>
      </c>
      <c r="AD115">
        <f t="shared" ref="AD115:AO115" si="50">COUNTIF(AD$2:AD$110,"98")</f>
        <v>0</v>
      </c>
      <c r="AE115">
        <f t="shared" si="50"/>
        <v>0</v>
      </c>
      <c r="AF115">
        <f t="shared" si="50"/>
        <v>0</v>
      </c>
      <c r="AG115">
        <f t="shared" si="50"/>
        <v>0</v>
      </c>
      <c r="AH115">
        <f t="shared" si="50"/>
        <v>0</v>
      </c>
      <c r="AI115">
        <f t="shared" si="50"/>
        <v>0</v>
      </c>
      <c r="AJ115">
        <f t="shared" si="50"/>
        <v>0</v>
      </c>
      <c r="AK115">
        <f t="shared" si="50"/>
        <v>0</v>
      </c>
      <c r="AL115">
        <f t="shared" si="50"/>
        <v>0</v>
      </c>
      <c r="AM115">
        <f t="shared" si="50"/>
        <v>0</v>
      </c>
      <c r="AN115">
        <f t="shared" si="50"/>
        <v>0</v>
      </c>
      <c r="AO115">
        <f t="shared" si="50"/>
        <v>0</v>
      </c>
      <c r="AP115">
        <f>COUNTIF(AP$2:AP$110,"97")</f>
        <v>0</v>
      </c>
      <c r="AQ115">
        <f>COUNTIF(AQ$2:AQ$110,"4")</f>
        <v>9</v>
      </c>
      <c r="BC115">
        <f>COUNTIF(BC$2:BC$110,"98")</f>
        <v>0</v>
      </c>
      <c r="BD115">
        <f>COUNTIF(BD$2:BD$110,"98")</f>
        <v>7</v>
      </c>
      <c r="BI115">
        <f>COUNTIF(BI$2:BI$110,"98")</f>
        <v>12</v>
      </c>
      <c r="BJ115">
        <f>COUNTIF(BJ$2:BJ$110,"4")</f>
        <v>46</v>
      </c>
      <c r="BK115">
        <f>COUNTIF(BK$2:BK$110,"98")</f>
        <v>0</v>
      </c>
      <c r="BL115">
        <f>COUNTIF(BL$2:BL$110,"Heis")</f>
        <v>0</v>
      </c>
      <c r="BN115">
        <f>COUNTIF(BN$2:BN$110,"98")</f>
        <v>1</v>
      </c>
      <c r="BP115">
        <f>COUNTIF(BP$2:BP$110,"97")</f>
        <v>3</v>
      </c>
      <c r="BR115">
        <f>COUNTIF(BR$2:BR$110,"98")</f>
        <v>0</v>
      </c>
      <c r="BS115">
        <f>COUNTIF(BS$2:BS$110,"98")</f>
        <v>0</v>
      </c>
      <c r="BT115">
        <f>COUNTIF(BT$2:BT$110,"4")</f>
        <v>1</v>
      </c>
      <c r="BU115">
        <f t="shared" ref="BU115:CJ115" si="51">COUNTIF(BU$2:BU$110,"98")</f>
        <v>3</v>
      </c>
      <c r="BV115">
        <f t="shared" si="51"/>
        <v>2</v>
      </c>
      <c r="BW115">
        <f t="shared" si="51"/>
        <v>2</v>
      </c>
      <c r="BX115">
        <f t="shared" si="51"/>
        <v>2</v>
      </c>
      <c r="BY115">
        <f t="shared" si="51"/>
        <v>2</v>
      </c>
      <c r="BZ115">
        <f t="shared" si="51"/>
        <v>2</v>
      </c>
      <c r="CA115">
        <f t="shared" si="51"/>
        <v>2</v>
      </c>
      <c r="CB115">
        <f t="shared" si="51"/>
        <v>2</v>
      </c>
      <c r="CC115">
        <f t="shared" si="51"/>
        <v>2</v>
      </c>
      <c r="CD115">
        <f t="shared" si="51"/>
        <v>2</v>
      </c>
      <c r="CE115">
        <f t="shared" si="51"/>
        <v>2</v>
      </c>
      <c r="CF115">
        <f t="shared" si="51"/>
        <v>2</v>
      </c>
      <c r="CG115">
        <f t="shared" si="51"/>
        <v>2</v>
      </c>
      <c r="CH115">
        <f t="shared" si="51"/>
        <v>2</v>
      </c>
      <c r="CI115">
        <f t="shared" si="51"/>
        <v>2</v>
      </c>
      <c r="CJ115">
        <f t="shared" si="51"/>
        <v>2</v>
      </c>
      <c r="CK115">
        <f>COUNTIF(CK$2:CK$110,"TNT")</f>
        <v>0</v>
      </c>
      <c r="CL115">
        <f>COUNTIF(CL$2:CL$110,"97")</f>
        <v>94</v>
      </c>
      <c r="CM115">
        <f>COUNTIF(CM$2:CM$110,"4")</f>
        <v>18</v>
      </c>
      <c r="CN115">
        <f>COUNTIF(CN$2:CN$110,"4")</f>
        <v>7</v>
      </c>
      <c r="CO115">
        <f>COUNTIF(CO$2:CO$110,"4")</f>
        <v>16</v>
      </c>
    </row>
    <row r="116" spans="1:93">
      <c r="F116">
        <f>COUNTIF(F$2:F$110,99)</f>
        <v>0</v>
      </c>
      <c r="G116">
        <f>COUNTIF(G$2:G$110,98)</f>
        <v>1</v>
      </c>
      <c r="H116">
        <f>COUNTIF(H2:H110,"5")</f>
        <v>15</v>
      </c>
      <c r="L116">
        <f>COUNTIF(L$2:L$110,"5")</f>
        <v>7</v>
      </c>
      <c r="M116">
        <f>COUNTIF(M$2:M$110,"99")</f>
        <v>0</v>
      </c>
      <c r="N116">
        <f>COUNTIF(N$2:N$110,"98")</f>
        <v>1</v>
      </c>
      <c r="AA116">
        <f>COUNTIF(AA$2:AA$110,"99")</f>
        <v>0</v>
      </c>
      <c r="AB116">
        <f>COUNTIF(AB$2:AB$110,"99")</f>
        <v>0</v>
      </c>
      <c r="AC116">
        <f>COUNTIF(AC$2:AC$110,"5")</f>
        <v>11</v>
      </c>
      <c r="AD116">
        <f t="shared" ref="AD116:AO116" si="52">COUNTIF(AD$2:AD$110,"99")</f>
        <v>0</v>
      </c>
      <c r="AE116">
        <f t="shared" si="52"/>
        <v>0</v>
      </c>
      <c r="AF116">
        <f t="shared" si="52"/>
        <v>0</v>
      </c>
      <c r="AG116">
        <f t="shared" si="52"/>
        <v>0</v>
      </c>
      <c r="AH116">
        <f t="shared" si="52"/>
        <v>0</v>
      </c>
      <c r="AI116">
        <f t="shared" si="52"/>
        <v>0</v>
      </c>
      <c r="AJ116">
        <f t="shared" si="52"/>
        <v>0</v>
      </c>
      <c r="AK116">
        <f t="shared" si="52"/>
        <v>0</v>
      </c>
      <c r="AL116">
        <f t="shared" si="52"/>
        <v>0</v>
      </c>
      <c r="AM116">
        <f t="shared" si="52"/>
        <v>0</v>
      </c>
      <c r="AN116">
        <f t="shared" si="52"/>
        <v>0</v>
      </c>
      <c r="AO116">
        <f t="shared" si="52"/>
        <v>0</v>
      </c>
      <c r="AP116">
        <f>COUNTIF(AP$2:AP$110,"98")</f>
        <v>1</v>
      </c>
      <c r="AQ116">
        <f>COUNTIF(AQ$2:AQ$110,"5")</f>
        <v>12</v>
      </c>
      <c r="AW116" s="15">
        <f>SUM(AW68:AW110)</f>
        <v>5853.6363636363631</v>
      </c>
      <c r="BC116">
        <f>COUNTIF(BC$2:BC$110,"99")</f>
        <v>1</v>
      </c>
      <c r="BD116">
        <f>COUNTIF(BD$2:BD$110,"99")</f>
        <v>1</v>
      </c>
      <c r="BI116">
        <f>COUNTIF(BI$2:BI$110,"99")</f>
        <v>1</v>
      </c>
      <c r="BJ116">
        <f>COUNTIF(BJ$2:BJ$110,"5")</f>
        <v>20</v>
      </c>
      <c r="BK116">
        <f>COUNTIF(BK$2:BK$110,"99")</f>
        <v>0</v>
      </c>
      <c r="BL116">
        <f>COUNTIF(BL$2:BL$110,"Heis i bakken v/dør")</f>
        <v>0</v>
      </c>
      <c r="BN116">
        <f>COUNTIF(BN$2:BN$110,"99")</f>
        <v>1</v>
      </c>
      <c r="BP116">
        <f>COUNTIF(BP$2:BP$110,"98")</f>
        <v>0</v>
      </c>
      <c r="BR116">
        <f>COUNTIF(BR$2:BR$110,"99")</f>
        <v>0</v>
      </c>
      <c r="BS116">
        <f>COUNTIF(BS$2:BS$110,"99")</f>
        <v>0</v>
      </c>
      <c r="BT116">
        <f>COUNTIF(BT$2:BT$110,"97")</f>
        <v>93</v>
      </c>
      <c r="BU116">
        <f t="shared" ref="BU116:CJ116" si="53">COUNTIF(BU$2:BU$110,"99")</f>
        <v>2</v>
      </c>
      <c r="BV116">
        <f t="shared" si="53"/>
        <v>0</v>
      </c>
      <c r="BW116">
        <f t="shared" si="53"/>
        <v>0</v>
      </c>
      <c r="BX116">
        <f t="shared" si="53"/>
        <v>0</v>
      </c>
      <c r="BY116">
        <f t="shared" si="53"/>
        <v>0</v>
      </c>
      <c r="BZ116">
        <f t="shared" si="53"/>
        <v>0</v>
      </c>
      <c r="CA116">
        <f t="shared" si="53"/>
        <v>0</v>
      </c>
      <c r="CB116">
        <f t="shared" si="53"/>
        <v>0</v>
      </c>
      <c r="CC116">
        <f t="shared" si="53"/>
        <v>0</v>
      </c>
      <c r="CD116">
        <f t="shared" si="53"/>
        <v>0</v>
      </c>
      <c r="CE116">
        <f t="shared" si="53"/>
        <v>0</v>
      </c>
      <c r="CF116">
        <f t="shared" si="53"/>
        <v>0</v>
      </c>
      <c r="CG116">
        <f t="shared" si="53"/>
        <v>0</v>
      </c>
      <c r="CH116">
        <f t="shared" si="53"/>
        <v>0</v>
      </c>
      <c r="CI116">
        <f t="shared" si="53"/>
        <v>0</v>
      </c>
      <c r="CJ116">
        <f t="shared" si="53"/>
        <v>0</v>
      </c>
      <c r="CK116">
        <f>COUNTIF(CK$2:CK$110,"97")</f>
        <v>74</v>
      </c>
      <c r="CL116">
        <f>COUNTIF(CL$2:CL$110,"98")</f>
        <v>2</v>
      </c>
      <c r="CM116">
        <f>COUNTIF(CM$2:CM$110,"5")</f>
        <v>6</v>
      </c>
      <c r="CN116">
        <f>COUNTIF(CN$2:CN$110,"5")</f>
        <v>16</v>
      </c>
      <c r="CO116">
        <f>COUNTIF(CO$2:CO$110,"5")</f>
        <v>10</v>
      </c>
    </row>
    <row r="117" spans="1:93">
      <c r="H117">
        <f>COUNTIF(H2:H110,"6")</f>
        <v>20</v>
      </c>
      <c r="L117">
        <f>COUNTIF(L$2:L$110,"6")</f>
        <v>57</v>
      </c>
      <c r="N117">
        <f>COUNTIF(N$2:N$110,"99")</f>
        <v>0</v>
      </c>
      <c r="AC117">
        <f>COUNTIF(AC$2:AC$110,"6")</f>
        <v>40</v>
      </c>
      <c r="AP117">
        <f>COUNTIF(AP$2:AP$110,"99")</f>
        <v>0</v>
      </c>
      <c r="AQ117">
        <f>COUNTIF(AQ$2:AQ$110,"6")</f>
        <v>30</v>
      </c>
      <c r="AW117" s="1">
        <f>AW116/250</f>
        <v>23.414545454545451</v>
      </c>
      <c r="BJ117">
        <f>COUNTIF(BJ$2:BJ$110,"6")</f>
        <v>9</v>
      </c>
      <c r="BL117">
        <f>COUNTIF(BL$2:BL$110,"Bakgård")</f>
        <v>0</v>
      </c>
      <c r="BP117">
        <f>COUNTIF(BP$2:BP$110,"99")</f>
        <v>0</v>
      </c>
      <c r="BT117">
        <f>COUNTIF(BT$2:BT$110,"98")</f>
        <v>0</v>
      </c>
      <c r="CK117">
        <f>161-CK116</f>
        <v>87</v>
      </c>
      <c r="CL117">
        <f>COUNTIF(CL$2:CL$110,"99")</f>
        <v>8</v>
      </c>
      <c r="CM117">
        <f>COUNTIF(CM$2:CM$110,"6")</f>
        <v>12</v>
      </c>
      <c r="CN117">
        <f>COUNTIF(CN$2:CN$110,"6")</f>
        <v>34</v>
      </c>
      <c r="CO117">
        <f>COUNTIF(CO$2:CO$110,"6")</f>
        <v>8</v>
      </c>
    </row>
    <row r="118" spans="1:93">
      <c r="H118">
        <f>COUNTIF(H2:H110,"7")</f>
        <v>29</v>
      </c>
      <c r="L118">
        <f>COUNTIF(L$2:L$110,"7")</f>
        <v>38</v>
      </c>
      <c r="AC118">
        <f>COUNTIF(AC$2:AC$110,"7")</f>
        <v>45</v>
      </c>
      <c r="AQ118">
        <f>COUNTIF(AQ$2:AQ$110,"7")</f>
        <v>27</v>
      </c>
      <c r="AW118" s="1"/>
      <c r="BJ118">
        <f>COUNTIF(BJ$2:BJ$110,"7")</f>
        <v>6</v>
      </c>
      <c r="BL118">
        <f>COUNTIF(BL$2:BL$110,"97")</f>
        <v>15</v>
      </c>
      <c r="BT118">
        <f>COUNTIF(BT$2:BT$110,"99")</f>
        <v>0</v>
      </c>
      <c r="CM118">
        <f>COUNTIF(CM$2:CM$110,"7")</f>
        <v>7</v>
      </c>
      <c r="CN118">
        <f>COUNTIF(CN$2:CN$110,"7")</f>
        <v>28</v>
      </c>
      <c r="CO118">
        <f>COUNTIF(CO$2:CO$110,"7")</f>
        <v>5</v>
      </c>
    </row>
    <row r="119" spans="1:93">
      <c r="H119">
        <f>COUNTIF(H2:H110,"8")</f>
        <v>16</v>
      </c>
      <c r="L119">
        <f>COUNTIF(L$2:L$110,97)</f>
        <v>0</v>
      </c>
      <c r="AC119">
        <f>COUNTIF(AC$2:AC$110,"97")</f>
        <v>0</v>
      </c>
      <c r="AQ119">
        <f>COUNTIF(AQ$2:AQ$110,"97")</f>
        <v>0</v>
      </c>
      <c r="BJ119">
        <f>COUNTIF(BJ$2:BJ$110,"97")</f>
        <v>0</v>
      </c>
      <c r="BL119">
        <f>COUNTIF(BL$2:BL$110,"98")</f>
        <v>0</v>
      </c>
      <c r="CL119">
        <f>161-(CL115+CL116+CL117)</f>
        <v>57</v>
      </c>
      <c r="CM119">
        <f>COUNTIF(CM$2:CM$110,"97")</f>
        <v>0</v>
      </c>
      <c r="CN119">
        <f>COUNTIF(CN$2:CN$110,"97")</f>
        <v>0</v>
      </c>
      <c r="CO119">
        <f>COUNTIF(CO$2:CO$110,"97")</f>
        <v>0</v>
      </c>
    </row>
    <row r="120" spans="1:93">
      <c r="H120">
        <f>COUNTIF(H2:H110,"9")</f>
        <v>6</v>
      </c>
      <c r="L120">
        <f>COUNTIF(L$2:L$110,98)</f>
        <v>1</v>
      </c>
      <c r="AC120">
        <f>COUNTIF(AC$2:AC$110,"98")</f>
        <v>1</v>
      </c>
      <c r="AQ120">
        <f>COUNTIF(AQ$2:AQ$110,"98")</f>
        <v>0</v>
      </c>
      <c r="AW120">
        <f>COUNTIF(AW2:AW110,"&lt;51")</f>
        <v>42</v>
      </c>
      <c r="BJ120">
        <f>COUNTIF(BJ$2:BJ$110,"98")</f>
        <v>0</v>
      </c>
      <c r="BL120">
        <f>COUNTIF(BL$2:BL$110,"99")</f>
        <v>2</v>
      </c>
      <c r="CL120" s="11">
        <f>CL119/161</f>
        <v>0.35403726708074534</v>
      </c>
      <c r="CM120">
        <f>COUNTIF(CM$2:CM$110,"98")</f>
        <v>50</v>
      </c>
      <c r="CN120">
        <f>COUNTIF(CN$2:CN$110,"98")</f>
        <v>2</v>
      </c>
      <c r="CO120">
        <f>COUNTIF(CO$2:CO$110,"98")</f>
        <v>3</v>
      </c>
    </row>
    <row r="121" spans="1:93">
      <c r="H121">
        <f>COUNTIF(H$2:H$110,97)</f>
        <v>0</v>
      </c>
      <c r="L121">
        <f>COUNTIF(L$2:L$110,98)</f>
        <v>1</v>
      </c>
      <c r="AC121">
        <f>COUNTIF(AC$2:AC$110,"99")</f>
        <v>1</v>
      </c>
      <c r="AQ121">
        <f>COUNTIF(AQ$2:AQ$110,"99")</f>
        <v>0</v>
      </c>
      <c r="BJ121">
        <f>COUNTIF(BJ$2:BJ$110,"99")</f>
        <v>0</v>
      </c>
      <c r="BM121" t="s">
        <v>171</v>
      </c>
      <c r="CM121">
        <f>COUNTIF(CM$2:CM$110,"99")</f>
        <v>8</v>
      </c>
      <c r="CN121">
        <f>COUNTIF(CN$2:CN$110,"99")</f>
        <v>7</v>
      </c>
      <c r="CO121">
        <f>COUNTIF(CO$2:CO$110,"99")</f>
        <v>20</v>
      </c>
    </row>
    <row r="122" spans="1:93">
      <c r="H122">
        <f>COUNTIF(H$2:H$110,98)</f>
        <v>1</v>
      </c>
    </row>
    <row r="123" spans="1:93">
      <c r="H123">
        <f>COUNTIF(H$2:H$110,99)</f>
        <v>0</v>
      </c>
    </row>
    <row r="125" spans="1:93">
      <c r="E125">
        <f>(3+4+5)/3</f>
        <v>4</v>
      </c>
      <c r="H125" s="1">
        <f>(H112*10)*22</f>
        <v>0</v>
      </c>
      <c r="I125" s="1"/>
      <c r="J125" s="1"/>
      <c r="K125" s="1"/>
    </row>
    <row r="126" spans="1:93">
      <c r="E126">
        <f>E125/5.5</f>
        <v>0.72727272727272729</v>
      </c>
      <c r="H126" s="1">
        <f>(H113*6.5)*22</f>
        <v>0</v>
      </c>
      <c r="I126" s="1"/>
      <c r="J126" s="1"/>
      <c r="K126" s="1"/>
    </row>
    <row r="127" spans="1:93">
      <c r="A127" s="2"/>
      <c r="C127" s="11"/>
      <c r="E127">
        <f>E125/6</f>
        <v>0.66666666666666663</v>
      </c>
      <c r="H127" s="1">
        <f>(H114*4.5)*22</f>
        <v>396</v>
      </c>
      <c r="I127" s="1"/>
      <c r="J127" s="1"/>
      <c r="K127" s="1"/>
    </row>
    <row r="128" spans="1:93">
      <c r="A128" s="2"/>
      <c r="C128" s="11"/>
      <c r="E128">
        <f>E125/5</f>
        <v>0.8</v>
      </c>
      <c r="H128" s="1">
        <f>(H115*2.5)*22</f>
        <v>990</v>
      </c>
      <c r="I128" s="1"/>
      <c r="J128" s="1"/>
      <c r="K128" s="1"/>
    </row>
    <row r="129" spans="1:60">
      <c r="A129" s="2"/>
      <c r="C129" s="11"/>
      <c r="H129" s="1">
        <f>(H116*1)*22</f>
        <v>330</v>
      </c>
      <c r="I129" s="1"/>
      <c r="J129" s="1"/>
      <c r="K129" s="1"/>
    </row>
    <row r="130" spans="1:60">
      <c r="A130" s="2"/>
      <c r="C130" s="11"/>
      <c r="E130">
        <f>1.5/5</f>
        <v>0.3</v>
      </c>
      <c r="H130">
        <f>(H117*4*E126)*22</f>
        <v>1280</v>
      </c>
      <c r="I130" s="1"/>
      <c r="J130" s="1"/>
      <c r="K130" s="1"/>
      <c r="BH130"/>
    </row>
    <row r="131" spans="1:60">
      <c r="A131" s="2"/>
      <c r="C131" s="11"/>
      <c r="E131">
        <f>1.5/5.5</f>
        <v>0.27272727272727271</v>
      </c>
      <c r="H131">
        <f>(H118*1.5*E131)*22</f>
        <v>261</v>
      </c>
      <c r="I131" s="1"/>
      <c r="J131" s="1"/>
      <c r="K131" s="1"/>
      <c r="BH131"/>
    </row>
    <row r="132" spans="1:60">
      <c r="A132" s="2"/>
      <c r="C132" s="11"/>
      <c r="E132">
        <f>1.5/6</f>
        <v>0.25</v>
      </c>
      <c r="H132" s="1">
        <f>H119*2</f>
        <v>32</v>
      </c>
      <c r="I132" s="1"/>
      <c r="J132" s="1"/>
      <c r="K132" s="1"/>
      <c r="BH132"/>
    </row>
    <row r="133" spans="1:60">
      <c r="E133">
        <f>1.5/7</f>
        <v>0.21428571428571427</v>
      </c>
      <c r="H133" s="1">
        <f>H120*0.5</f>
        <v>3</v>
      </c>
      <c r="I133" s="8"/>
      <c r="J133" s="8"/>
      <c r="K133" s="8"/>
      <c r="BH133"/>
    </row>
    <row r="134" spans="1:60">
      <c r="G134" t="s">
        <v>154</v>
      </c>
      <c r="H134" s="8">
        <f>SUM(H125:H133)</f>
        <v>3292</v>
      </c>
      <c r="I134" s="1"/>
      <c r="J134" s="1"/>
      <c r="K134" s="1"/>
      <c r="L134" s="1">
        <f>BG112</f>
        <v>2.0728155339805827</v>
      </c>
      <c r="M134">
        <f>BB112</f>
        <v>35479.5</v>
      </c>
      <c r="BH134"/>
    </row>
    <row r="135" spans="1:60">
      <c r="A135" s="2"/>
      <c r="C135" s="11"/>
      <c r="G135" t="s">
        <v>155</v>
      </c>
      <c r="H135" s="1">
        <f>H134/22</f>
        <v>149.63636363636363</v>
      </c>
      <c r="BH135"/>
    </row>
    <row r="137" spans="1:60">
      <c r="D137" s="11"/>
      <c r="BH137"/>
    </row>
    <row r="138" spans="1:60">
      <c r="A138" s="2"/>
      <c r="C138" s="11"/>
      <c r="BH138"/>
    </row>
  </sheetData>
  <autoFilter ref="A1:CP138"/>
  <sortState ref="A2:CL162">
    <sortCondition ref="C5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83"/>
  <sheetViews>
    <sheetView topLeftCell="B1" workbookViewId="0">
      <selection activeCell="E31" sqref="E31"/>
    </sheetView>
  </sheetViews>
  <sheetFormatPr baseColWidth="10" defaultRowHeight="15" x14ac:dyDescent="0"/>
  <cols>
    <col min="1" max="1" width="13.7109375" hidden="1" customWidth="1"/>
    <col min="2" max="2" width="24.7109375" bestFit="1" customWidth="1"/>
    <col min="3" max="3" width="20.28515625" bestFit="1" customWidth="1"/>
    <col min="4" max="10" width="14.7109375" customWidth="1"/>
    <col min="11" max="11" width="25.7109375" bestFit="1" customWidth="1"/>
    <col min="12" max="32" width="14.7109375" customWidth="1"/>
    <col min="46" max="46" width="19.7109375" bestFit="1" customWidth="1"/>
    <col min="90" max="90" width="53.28515625" bestFit="1" customWidth="1"/>
  </cols>
  <sheetData>
    <row r="1" spans="1:95">
      <c r="A1" t="s">
        <v>0</v>
      </c>
      <c r="B1" t="s">
        <v>365</v>
      </c>
      <c r="C1" t="s">
        <v>366</v>
      </c>
      <c r="D1" t="s">
        <v>2</v>
      </c>
      <c r="E1" t="s">
        <v>367</v>
      </c>
      <c r="F1" t="s">
        <v>368</v>
      </c>
      <c r="G1" t="s">
        <v>369</v>
      </c>
      <c r="H1" t="s">
        <v>370</v>
      </c>
      <c r="I1" t="s">
        <v>371</v>
      </c>
      <c r="J1" t="s">
        <v>372</v>
      </c>
      <c r="K1" t="s">
        <v>373</v>
      </c>
      <c r="L1" t="s">
        <v>374</v>
      </c>
      <c r="M1" t="s">
        <v>375</v>
      </c>
      <c r="N1" t="s">
        <v>376</v>
      </c>
      <c r="O1" t="s">
        <v>377</v>
      </c>
      <c r="P1" t="s">
        <v>378</v>
      </c>
      <c r="Q1" t="s">
        <v>379</v>
      </c>
      <c r="R1" t="s">
        <v>380</v>
      </c>
      <c r="S1" t="s">
        <v>381</v>
      </c>
      <c r="T1" t="s">
        <v>382</v>
      </c>
      <c r="U1" t="s">
        <v>383</v>
      </c>
      <c r="V1" t="s">
        <v>384</v>
      </c>
      <c r="W1" t="s">
        <v>385</v>
      </c>
      <c r="X1" t="s">
        <v>386</v>
      </c>
      <c r="Y1" t="s">
        <v>387</v>
      </c>
      <c r="Z1" t="s">
        <v>388</v>
      </c>
      <c r="AA1" t="s">
        <v>6</v>
      </c>
      <c r="AB1" t="s">
        <v>389</v>
      </c>
      <c r="AC1" t="s">
        <v>7</v>
      </c>
      <c r="AD1" t="s">
        <v>8</v>
      </c>
      <c r="AE1" t="s">
        <v>390</v>
      </c>
      <c r="AF1" t="s">
        <v>21</v>
      </c>
      <c r="AG1" t="s">
        <v>391</v>
      </c>
      <c r="AH1" t="s">
        <v>392</v>
      </c>
      <c r="AI1" t="s">
        <v>393</v>
      </c>
      <c r="AJ1" t="s">
        <v>394</v>
      </c>
      <c r="AK1" t="s">
        <v>395</v>
      </c>
      <c r="AL1" t="s">
        <v>396</v>
      </c>
      <c r="AM1" t="s">
        <v>397</v>
      </c>
      <c r="AN1" t="s">
        <v>398</v>
      </c>
      <c r="AO1" t="s">
        <v>399</v>
      </c>
      <c r="AP1" t="s">
        <v>400</v>
      </c>
      <c r="AQ1" t="s">
        <v>401</v>
      </c>
      <c r="AR1" t="s">
        <v>402</v>
      </c>
      <c r="AS1" t="s">
        <v>23</v>
      </c>
      <c r="AT1" t="s">
        <v>403</v>
      </c>
      <c r="AU1" t="s">
        <v>404</v>
      </c>
      <c r="AV1" t="s">
        <v>405</v>
      </c>
      <c r="AW1" t="s">
        <v>406</v>
      </c>
      <c r="AX1" t="s">
        <v>407</v>
      </c>
      <c r="AY1" t="s">
        <v>408</v>
      </c>
      <c r="AZ1" t="s">
        <v>409</v>
      </c>
      <c r="BA1" t="s">
        <v>410</v>
      </c>
      <c r="BB1" t="s">
        <v>411</v>
      </c>
      <c r="BC1" t="s">
        <v>412</v>
      </c>
      <c r="BD1" t="s">
        <v>413</v>
      </c>
      <c r="BE1" t="s">
        <v>414</v>
      </c>
      <c r="BF1" t="s">
        <v>415</v>
      </c>
      <c r="BG1" t="s">
        <v>416</v>
      </c>
      <c r="BH1" t="s">
        <v>37</v>
      </c>
      <c r="BI1" t="s">
        <v>417</v>
      </c>
      <c r="BJ1" t="s">
        <v>418</v>
      </c>
      <c r="BK1" t="s">
        <v>419</v>
      </c>
      <c r="BL1" t="s">
        <v>420</v>
      </c>
      <c r="BM1" t="s">
        <v>421</v>
      </c>
      <c r="BN1" t="s">
        <v>422</v>
      </c>
      <c r="BO1" t="s">
        <v>77</v>
      </c>
      <c r="BP1" t="s">
        <v>78</v>
      </c>
      <c r="BQ1" t="s">
        <v>79</v>
      </c>
      <c r="BR1" t="s">
        <v>80</v>
      </c>
      <c r="BS1" t="s">
        <v>423</v>
      </c>
      <c r="BT1" t="s">
        <v>424</v>
      </c>
      <c r="BU1" t="s">
        <v>425</v>
      </c>
      <c r="BV1" t="s">
        <v>426</v>
      </c>
      <c r="BW1" t="s">
        <v>427</v>
      </c>
      <c r="BX1" t="s">
        <v>428</v>
      </c>
      <c r="BY1" t="s">
        <v>39</v>
      </c>
      <c r="BZ1" t="s">
        <v>40</v>
      </c>
      <c r="CA1" t="s">
        <v>41</v>
      </c>
      <c r="CB1" t="s">
        <v>42</v>
      </c>
      <c r="CC1" t="s">
        <v>43</v>
      </c>
      <c r="CD1" t="s">
        <v>44</v>
      </c>
      <c r="CE1" t="s">
        <v>45</v>
      </c>
      <c r="CF1" t="s">
        <v>46</v>
      </c>
      <c r="CG1" t="s">
        <v>47</v>
      </c>
      <c r="CH1" t="s">
        <v>48</v>
      </c>
      <c r="CI1" t="s">
        <v>49</v>
      </c>
      <c r="CJ1" t="s">
        <v>429</v>
      </c>
      <c r="CK1" t="s">
        <v>430</v>
      </c>
      <c r="CL1" t="s">
        <v>431</v>
      </c>
      <c r="CM1" t="s">
        <v>51</v>
      </c>
      <c r="CN1" t="s">
        <v>52</v>
      </c>
      <c r="CO1" t="s">
        <v>432</v>
      </c>
      <c r="CP1" t="s">
        <v>70</v>
      </c>
      <c r="CQ1" t="s">
        <v>71</v>
      </c>
    </row>
    <row r="2" spans="1:95">
      <c r="A2">
        <v>1</v>
      </c>
      <c r="B2" t="s">
        <v>433</v>
      </c>
      <c r="C2" t="s">
        <v>434</v>
      </c>
      <c r="D2" s="2">
        <v>2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0</v>
      </c>
      <c r="L2" s="2">
        <v>3</v>
      </c>
      <c r="M2" s="2">
        <v>6</v>
      </c>
      <c r="N2" s="2">
        <v>10</v>
      </c>
      <c r="O2" s="2">
        <v>6</v>
      </c>
      <c r="P2" s="2">
        <v>0</v>
      </c>
      <c r="Q2" s="2">
        <v>97</v>
      </c>
      <c r="R2" s="2">
        <v>0</v>
      </c>
      <c r="S2" s="2">
        <v>0</v>
      </c>
      <c r="T2" s="2">
        <v>0</v>
      </c>
      <c r="U2" s="2">
        <v>70</v>
      </c>
      <c r="V2" s="2">
        <v>0</v>
      </c>
      <c r="W2" s="2">
        <v>0</v>
      </c>
      <c r="X2" s="2">
        <v>0</v>
      </c>
      <c r="Y2" s="2">
        <v>30</v>
      </c>
      <c r="Z2" s="2">
        <v>0</v>
      </c>
      <c r="AA2" s="2">
        <v>6</v>
      </c>
      <c r="AB2" s="2">
        <v>21</v>
      </c>
      <c r="AC2" s="2">
        <v>5</v>
      </c>
      <c r="AD2" s="2">
        <v>1</v>
      </c>
      <c r="AE2" s="2">
        <v>1</v>
      </c>
      <c r="AF2" s="2">
        <v>2</v>
      </c>
      <c r="AG2" s="2">
        <v>0</v>
      </c>
      <c r="AH2" s="2">
        <v>1</v>
      </c>
      <c r="AI2" s="2">
        <v>1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/>
      <c r="AU2" s="2">
        <v>6</v>
      </c>
      <c r="AV2" s="2">
        <v>97</v>
      </c>
      <c r="AW2" s="2">
        <v>97</v>
      </c>
      <c r="AX2" s="2">
        <v>97</v>
      </c>
      <c r="AY2" s="2">
        <v>97</v>
      </c>
      <c r="AZ2" s="2">
        <v>97</v>
      </c>
      <c r="BA2" s="2">
        <v>97</v>
      </c>
      <c r="BB2" s="2">
        <v>97</v>
      </c>
      <c r="BC2" s="2">
        <v>97</v>
      </c>
      <c r="BD2" s="2">
        <v>97</v>
      </c>
      <c r="BE2" s="2">
        <v>97</v>
      </c>
      <c r="BF2" s="2">
        <v>97</v>
      </c>
      <c r="BG2" s="2">
        <v>97</v>
      </c>
      <c r="BH2" s="2">
        <v>5</v>
      </c>
      <c r="BI2" s="2">
        <v>0</v>
      </c>
      <c r="BJ2" s="2">
        <v>2</v>
      </c>
      <c r="BK2" s="2">
        <v>0</v>
      </c>
      <c r="BL2" s="2">
        <v>0</v>
      </c>
      <c r="BM2" s="2">
        <v>0</v>
      </c>
      <c r="BN2" s="2">
        <v>0</v>
      </c>
      <c r="BO2" s="2">
        <v>50000</v>
      </c>
      <c r="BP2" s="2"/>
      <c r="BQ2" s="2"/>
      <c r="BR2" s="2">
        <v>50000</v>
      </c>
      <c r="BS2" s="2"/>
      <c r="BT2" s="2"/>
      <c r="BU2" s="2"/>
      <c r="BV2" s="2">
        <v>2.5</v>
      </c>
      <c r="BW2" s="2">
        <f>BV2*333</f>
        <v>832.5</v>
      </c>
      <c r="BX2" s="2"/>
      <c r="BY2" s="2">
        <v>0</v>
      </c>
      <c r="BZ2" s="2">
        <v>97</v>
      </c>
      <c r="CA2" s="2">
        <v>1</v>
      </c>
      <c r="CB2" s="2">
        <v>105</v>
      </c>
      <c r="CC2" s="2">
        <v>1</v>
      </c>
      <c r="CD2" s="2">
        <v>0</v>
      </c>
      <c r="CE2" s="3" t="s">
        <v>435</v>
      </c>
      <c r="CF2" s="2">
        <v>6</v>
      </c>
      <c r="CG2" s="2">
        <v>0</v>
      </c>
      <c r="CH2" s="2">
        <v>97</v>
      </c>
      <c r="CI2" s="2">
        <v>1</v>
      </c>
      <c r="CJ2" s="2">
        <v>1</v>
      </c>
      <c r="CK2" s="2">
        <v>1</v>
      </c>
      <c r="CL2" s="2" t="s">
        <v>436</v>
      </c>
      <c r="CM2" s="2">
        <v>3</v>
      </c>
      <c r="CN2" s="2">
        <v>0</v>
      </c>
      <c r="CO2" s="2">
        <v>98</v>
      </c>
      <c r="CP2" s="2">
        <v>5</v>
      </c>
      <c r="CQ2" s="2">
        <v>1</v>
      </c>
    </row>
    <row r="3" spans="1:95">
      <c r="A3">
        <v>2</v>
      </c>
      <c r="B3" t="s">
        <v>437</v>
      </c>
      <c r="C3" t="s">
        <v>438</v>
      </c>
      <c r="D3" s="2" t="s">
        <v>439</v>
      </c>
      <c r="E3" s="2">
        <v>1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 t="s">
        <v>440</v>
      </c>
      <c r="L3" s="2">
        <v>10</v>
      </c>
      <c r="M3" s="2">
        <v>6</v>
      </c>
      <c r="N3" s="2">
        <v>12</v>
      </c>
      <c r="O3" s="2">
        <v>6</v>
      </c>
      <c r="P3" s="2">
        <v>0</v>
      </c>
      <c r="Q3" s="2">
        <v>97</v>
      </c>
      <c r="R3" s="2">
        <v>0</v>
      </c>
      <c r="S3" s="2">
        <v>1</v>
      </c>
      <c r="T3" s="2">
        <v>0</v>
      </c>
      <c r="U3" s="2">
        <v>70</v>
      </c>
      <c r="V3" s="2">
        <v>0</v>
      </c>
      <c r="W3" s="2">
        <v>0</v>
      </c>
      <c r="X3" s="2">
        <v>0</v>
      </c>
      <c r="Y3" s="2">
        <v>30</v>
      </c>
      <c r="Z3" s="2">
        <v>0</v>
      </c>
      <c r="AA3" s="2">
        <v>6</v>
      </c>
      <c r="AB3" s="2">
        <v>30</v>
      </c>
      <c r="AC3" s="2">
        <v>5</v>
      </c>
      <c r="AD3" s="2">
        <v>1</v>
      </c>
      <c r="AE3" s="2">
        <v>1</v>
      </c>
      <c r="AF3" s="2">
        <v>3</v>
      </c>
      <c r="AG3" s="2">
        <v>0</v>
      </c>
      <c r="AH3" s="2">
        <v>1</v>
      </c>
      <c r="AI3" s="2">
        <v>1</v>
      </c>
      <c r="AJ3" s="2">
        <v>1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1</v>
      </c>
      <c r="AT3" s="2" t="s">
        <v>441</v>
      </c>
      <c r="AU3" s="2">
        <v>4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1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5</v>
      </c>
      <c r="BI3" s="2">
        <v>0</v>
      </c>
      <c r="BJ3" s="2">
        <v>1</v>
      </c>
      <c r="BK3" s="2">
        <v>0</v>
      </c>
      <c r="BL3" s="2">
        <v>0</v>
      </c>
      <c r="BM3" s="2">
        <v>0</v>
      </c>
      <c r="BN3" s="2">
        <v>0</v>
      </c>
      <c r="BO3" s="2">
        <v>20000</v>
      </c>
      <c r="BP3" s="2"/>
      <c r="BQ3" s="2"/>
      <c r="BR3" s="2">
        <v>20000</v>
      </c>
      <c r="BS3" s="2"/>
      <c r="BT3" s="2">
        <v>150</v>
      </c>
      <c r="BU3" s="2"/>
      <c r="BV3" s="2"/>
      <c r="BW3" s="2">
        <f>BT3</f>
        <v>150</v>
      </c>
      <c r="BX3" s="2"/>
      <c r="BY3" s="2">
        <v>1</v>
      </c>
      <c r="BZ3" s="2">
        <v>100</v>
      </c>
      <c r="CA3" s="2">
        <v>1</v>
      </c>
      <c r="CB3" s="2">
        <v>150</v>
      </c>
      <c r="CC3" s="2">
        <v>1</v>
      </c>
      <c r="CD3" s="2">
        <v>1</v>
      </c>
      <c r="CE3" s="3" t="s">
        <v>442</v>
      </c>
      <c r="CF3" s="2">
        <v>4</v>
      </c>
      <c r="CG3" s="2">
        <v>0</v>
      </c>
      <c r="CH3" s="2">
        <v>97</v>
      </c>
      <c r="CI3" s="2">
        <v>1</v>
      </c>
      <c r="CJ3" s="2">
        <v>1</v>
      </c>
      <c r="CK3" s="2">
        <v>1</v>
      </c>
      <c r="CL3" s="2" t="s">
        <v>443</v>
      </c>
      <c r="CM3" s="2">
        <v>3</v>
      </c>
      <c r="CN3" s="2">
        <v>1</v>
      </c>
      <c r="CO3" s="2">
        <v>3</v>
      </c>
      <c r="CP3" s="2">
        <v>6</v>
      </c>
      <c r="CQ3" s="2">
        <v>3</v>
      </c>
    </row>
    <row r="4" spans="1:95">
      <c r="A4">
        <v>3</v>
      </c>
      <c r="B4" t="s">
        <v>153</v>
      </c>
      <c r="C4" t="s">
        <v>444</v>
      </c>
      <c r="D4" s="2">
        <v>1</v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7</v>
      </c>
      <c r="M4" s="2">
        <v>6</v>
      </c>
      <c r="N4" s="2">
        <v>1</v>
      </c>
      <c r="O4" s="2">
        <v>6</v>
      </c>
      <c r="P4" s="2">
        <v>0</v>
      </c>
      <c r="Q4" s="2">
        <v>97</v>
      </c>
      <c r="R4" s="2">
        <v>2</v>
      </c>
      <c r="S4" s="2">
        <v>0</v>
      </c>
      <c r="T4" s="2">
        <v>0</v>
      </c>
      <c r="U4" s="2">
        <v>0</v>
      </c>
      <c r="V4" s="2">
        <v>70</v>
      </c>
      <c r="W4" s="2">
        <v>30</v>
      </c>
      <c r="X4" s="2">
        <v>0</v>
      </c>
      <c r="Y4" s="2">
        <v>0</v>
      </c>
      <c r="Z4" s="2">
        <v>0</v>
      </c>
      <c r="AA4" s="2">
        <v>2</v>
      </c>
      <c r="AB4" s="2">
        <v>97</v>
      </c>
      <c r="AC4" s="2">
        <v>6</v>
      </c>
      <c r="AD4" s="2">
        <v>0</v>
      </c>
      <c r="AE4" s="2">
        <v>0</v>
      </c>
      <c r="AF4" s="2">
        <v>1</v>
      </c>
      <c r="AG4" s="2">
        <v>0</v>
      </c>
      <c r="AH4" s="2">
        <v>0</v>
      </c>
      <c r="AI4" s="2">
        <v>1</v>
      </c>
      <c r="AJ4" s="2">
        <v>1</v>
      </c>
      <c r="AK4" s="2">
        <v>1</v>
      </c>
      <c r="AL4" s="2">
        <v>1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/>
      <c r="AU4" s="2">
        <v>6</v>
      </c>
      <c r="AV4" s="2">
        <v>97</v>
      </c>
      <c r="AW4" s="2">
        <v>97</v>
      </c>
      <c r="AX4" s="2">
        <v>97</v>
      </c>
      <c r="AY4" s="2">
        <v>97</v>
      </c>
      <c r="AZ4" s="2">
        <v>97</v>
      </c>
      <c r="BA4" s="2">
        <v>97</v>
      </c>
      <c r="BB4" s="2">
        <v>97</v>
      </c>
      <c r="BC4" s="2">
        <v>97</v>
      </c>
      <c r="BD4" s="2">
        <v>97</v>
      </c>
      <c r="BE4" s="2">
        <v>97</v>
      </c>
      <c r="BF4" s="2">
        <v>97</v>
      </c>
      <c r="BG4" s="2">
        <v>97</v>
      </c>
      <c r="BH4" s="2">
        <v>7</v>
      </c>
      <c r="BI4" s="2">
        <v>0</v>
      </c>
      <c r="BJ4" s="2">
        <v>0</v>
      </c>
      <c r="BK4" s="2">
        <v>0</v>
      </c>
      <c r="BL4" s="2">
        <v>1</v>
      </c>
      <c r="BM4" s="2">
        <v>0</v>
      </c>
      <c r="BN4" s="2">
        <v>0</v>
      </c>
      <c r="BO4" s="2"/>
      <c r="BP4" s="2">
        <v>5</v>
      </c>
      <c r="BQ4" s="2"/>
      <c r="BR4" s="2">
        <f>BP4*333</f>
        <v>1665</v>
      </c>
      <c r="BS4" s="2"/>
      <c r="BT4" s="2"/>
      <c r="BU4" s="2">
        <v>1</v>
      </c>
      <c r="BV4" s="2"/>
      <c r="BW4" s="2">
        <f>BU4*333</f>
        <v>333</v>
      </c>
      <c r="BX4" s="2"/>
      <c r="BY4" s="2">
        <v>0</v>
      </c>
      <c r="BZ4" s="2">
        <v>97</v>
      </c>
      <c r="CA4" s="2">
        <v>1</v>
      </c>
      <c r="CB4" s="2">
        <v>15</v>
      </c>
      <c r="CC4" s="2">
        <v>3</v>
      </c>
      <c r="CD4" s="2">
        <v>1</v>
      </c>
      <c r="CE4" s="2">
        <v>4</v>
      </c>
      <c r="CF4" s="2">
        <v>1</v>
      </c>
      <c r="CG4" s="2">
        <v>0</v>
      </c>
      <c r="CH4" s="2">
        <v>97</v>
      </c>
      <c r="CI4" s="2">
        <v>0</v>
      </c>
      <c r="CJ4" s="2">
        <v>97</v>
      </c>
      <c r="CK4" s="2">
        <v>97</v>
      </c>
      <c r="CL4" s="2">
        <v>97</v>
      </c>
      <c r="CM4" s="2">
        <v>2</v>
      </c>
      <c r="CN4" s="2">
        <v>0</v>
      </c>
      <c r="CO4" s="2">
        <v>1</v>
      </c>
      <c r="CP4" s="2">
        <v>4</v>
      </c>
      <c r="CQ4" s="2">
        <v>1</v>
      </c>
    </row>
    <row r="5" spans="1:95">
      <c r="A5">
        <v>4</v>
      </c>
      <c r="B5" t="s">
        <v>150</v>
      </c>
      <c r="C5" t="s">
        <v>445</v>
      </c>
      <c r="D5" s="2">
        <v>1</v>
      </c>
      <c r="E5" s="2">
        <v>0</v>
      </c>
      <c r="F5" s="2">
        <v>0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5</v>
      </c>
      <c r="N5" s="2">
        <v>23</v>
      </c>
      <c r="O5" s="2">
        <v>6</v>
      </c>
      <c r="P5" s="2">
        <v>2</v>
      </c>
      <c r="Q5" s="2">
        <v>5</v>
      </c>
      <c r="R5" s="2">
        <v>23</v>
      </c>
      <c r="S5" s="2">
        <v>0</v>
      </c>
      <c r="T5" s="2">
        <v>0</v>
      </c>
      <c r="U5" s="2">
        <v>0</v>
      </c>
      <c r="V5" s="2"/>
      <c r="W5" s="2">
        <v>3</v>
      </c>
      <c r="X5" s="2">
        <v>95</v>
      </c>
      <c r="Y5" s="2">
        <v>2</v>
      </c>
      <c r="Z5" s="2">
        <v>0</v>
      </c>
      <c r="AA5" s="2">
        <v>2</v>
      </c>
      <c r="AB5" s="2">
        <v>97</v>
      </c>
      <c r="AC5" s="2">
        <v>6</v>
      </c>
      <c r="AD5" s="2">
        <v>1</v>
      </c>
      <c r="AE5" s="2">
        <v>1</v>
      </c>
      <c r="AF5" s="2">
        <v>1</v>
      </c>
      <c r="AG5" s="2">
        <v>1</v>
      </c>
      <c r="AH5" s="2">
        <v>1</v>
      </c>
      <c r="AI5" s="2">
        <v>1</v>
      </c>
      <c r="AJ5" s="2">
        <v>0</v>
      </c>
      <c r="AK5" s="2">
        <v>0</v>
      </c>
      <c r="AL5" s="2">
        <v>0</v>
      </c>
      <c r="AM5" s="2">
        <v>0</v>
      </c>
      <c r="AN5" s="2">
        <v>1</v>
      </c>
      <c r="AO5" s="2">
        <v>0</v>
      </c>
      <c r="AP5" s="2">
        <v>0</v>
      </c>
      <c r="AQ5" s="2">
        <v>0</v>
      </c>
      <c r="AR5" s="2">
        <v>1</v>
      </c>
      <c r="AS5" s="2">
        <v>1</v>
      </c>
      <c r="AT5" s="2" t="s">
        <v>441</v>
      </c>
      <c r="AU5" s="2">
        <v>4</v>
      </c>
      <c r="AV5" s="2">
        <v>0</v>
      </c>
      <c r="AW5" s="2">
        <v>1</v>
      </c>
      <c r="AX5" s="2">
        <v>1</v>
      </c>
      <c r="AY5" s="2">
        <v>1</v>
      </c>
      <c r="AZ5" s="2">
        <v>1</v>
      </c>
      <c r="BA5" s="2">
        <v>1</v>
      </c>
      <c r="BB5" s="2">
        <v>1</v>
      </c>
      <c r="BC5" s="2">
        <v>1</v>
      </c>
      <c r="BD5" s="2">
        <v>1</v>
      </c>
      <c r="BE5" s="2">
        <v>1</v>
      </c>
      <c r="BF5" s="2">
        <v>1</v>
      </c>
      <c r="BG5" s="2">
        <v>0</v>
      </c>
      <c r="BH5" s="2">
        <v>2</v>
      </c>
      <c r="BI5" s="2">
        <v>0</v>
      </c>
      <c r="BJ5" s="2">
        <v>2</v>
      </c>
      <c r="BK5" s="2">
        <v>0</v>
      </c>
      <c r="BL5" s="2">
        <v>4</v>
      </c>
      <c r="BM5" s="2">
        <v>0</v>
      </c>
      <c r="BN5" s="2">
        <v>0</v>
      </c>
      <c r="BO5" s="2"/>
      <c r="BP5" s="2"/>
      <c r="BQ5" s="2"/>
      <c r="BR5" s="2"/>
      <c r="BS5" s="2"/>
      <c r="BT5" s="2"/>
      <c r="BU5" s="2"/>
      <c r="BV5" s="2"/>
      <c r="BW5" s="2"/>
      <c r="BX5" s="2"/>
      <c r="BY5" s="2">
        <v>2</v>
      </c>
      <c r="BZ5" s="2">
        <v>30</v>
      </c>
      <c r="CA5" s="2">
        <v>1</v>
      </c>
      <c r="CB5" s="2"/>
      <c r="CC5" s="2"/>
      <c r="CD5" s="2">
        <v>1</v>
      </c>
      <c r="CE5" s="2">
        <v>4</v>
      </c>
      <c r="CF5" s="2">
        <v>1</v>
      </c>
      <c r="CG5" s="2">
        <v>2</v>
      </c>
      <c r="CH5" s="2">
        <v>98</v>
      </c>
      <c r="CI5" s="2">
        <v>1</v>
      </c>
      <c r="CJ5" s="2">
        <v>1</v>
      </c>
      <c r="CK5" s="2">
        <v>1</v>
      </c>
      <c r="CL5" s="2" t="s">
        <v>446</v>
      </c>
      <c r="CM5" s="2" t="s">
        <v>447</v>
      </c>
      <c r="CN5" s="2">
        <v>0</v>
      </c>
      <c r="CO5" s="2">
        <v>2</v>
      </c>
      <c r="CP5" s="2">
        <v>6</v>
      </c>
      <c r="CQ5" s="2">
        <v>2</v>
      </c>
    </row>
    <row r="6" spans="1:95">
      <c r="A6">
        <v>5</v>
      </c>
      <c r="B6" t="s">
        <v>151</v>
      </c>
      <c r="C6" t="s">
        <v>448</v>
      </c>
      <c r="D6" s="2">
        <v>1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4</v>
      </c>
      <c r="M6" s="2">
        <v>6</v>
      </c>
      <c r="N6" s="2">
        <v>4</v>
      </c>
      <c r="O6" s="2" t="s">
        <v>449</v>
      </c>
      <c r="P6" s="2">
        <v>4</v>
      </c>
      <c r="Q6" s="2">
        <v>5</v>
      </c>
      <c r="R6" s="2">
        <v>3</v>
      </c>
      <c r="S6" s="2">
        <v>0</v>
      </c>
      <c r="T6" s="2">
        <v>0</v>
      </c>
      <c r="U6" s="2">
        <v>0</v>
      </c>
      <c r="V6" s="2">
        <v>10</v>
      </c>
      <c r="W6" s="2">
        <v>0</v>
      </c>
      <c r="X6" s="2">
        <v>70</v>
      </c>
      <c r="Y6" s="2">
        <v>20</v>
      </c>
      <c r="Z6" s="2">
        <v>0</v>
      </c>
      <c r="AA6" s="2">
        <v>5</v>
      </c>
      <c r="AB6" s="2">
        <v>97</v>
      </c>
      <c r="AC6" s="2">
        <v>3</v>
      </c>
      <c r="AD6" s="2">
        <v>1</v>
      </c>
      <c r="AE6" s="2">
        <v>1</v>
      </c>
      <c r="AF6" s="2">
        <v>2</v>
      </c>
      <c r="AG6" s="2">
        <v>0</v>
      </c>
      <c r="AH6" s="2">
        <v>1</v>
      </c>
      <c r="AI6" s="2">
        <v>1</v>
      </c>
      <c r="AJ6" s="2">
        <v>1</v>
      </c>
      <c r="AK6" s="2">
        <v>1</v>
      </c>
      <c r="AL6" s="2">
        <v>1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1</v>
      </c>
      <c r="AT6" s="2"/>
      <c r="AU6" s="2">
        <v>4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1</v>
      </c>
      <c r="BD6" s="2">
        <v>0</v>
      </c>
      <c r="BE6" s="2">
        <v>0</v>
      </c>
      <c r="BF6" s="2">
        <v>0</v>
      </c>
      <c r="BG6" s="2">
        <v>0</v>
      </c>
      <c r="BH6" s="2">
        <v>4</v>
      </c>
      <c r="BI6" s="2">
        <v>0</v>
      </c>
      <c r="BJ6" s="2">
        <v>1</v>
      </c>
      <c r="BK6" s="2">
        <v>0</v>
      </c>
      <c r="BL6" s="2">
        <v>1</v>
      </c>
      <c r="BM6" s="2">
        <v>0</v>
      </c>
      <c r="BN6" s="2">
        <v>0</v>
      </c>
      <c r="BO6" s="2"/>
      <c r="BP6" s="2"/>
      <c r="BQ6" s="2"/>
      <c r="BR6" s="2"/>
      <c r="BS6" s="2"/>
      <c r="BT6" s="2"/>
      <c r="BU6" s="2"/>
      <c r="BV6" s="2"/>
      <c r="BW6" s="2"/>
      <c r="BX6" s="2"/>
      <c r="BY6" s="2">
        <v>0</v>
      </c>
      <c r="BZ6" s="2">
        <v>97</v>
      </c>
      <c r="CA6" s="2">
        <v>1</v>
      </c>
      <c r="CB6" s="2"/>
      <c r="CC6" s="2"/>
      <c r="CD6" s="2">
        <v>1</v>
      </c>
      <c r="CE6" s="2">
        <v>4</v>
      </c>
      <c r="CF6" s="2">
        <v>1</v>
      </c>
      <c r="CG6" s="2">
        <v>2</v>
      </c>
      <c r="CH6" s="2">
        <v>50</v>
      </c>
      <c r="CI6" s="2">
        <v>1</v>
      </c>
      <c r="CJ6" s="2">
        <v>1</v>
      </c>
      <c r="CK6" s="2">
        <v>1</v>
      </c>
      <c r="CL6" s="2">
        <v>97</v>
      </c>
      <c r="CM6" s="2">
        <v>2.2999999999999998</v>
      </c>
      <c r="CN6" s="2">
        <v>0</v>
      </c>
      <c r="CO6" s="2">
        <v>2</v>
      </c>
      <c r="CP6" s="2">
        <v>6</v>
      </c>
      <c r="CQ6" s="2">
        <v>3</v>
      </c>
    </row>
    <row r="7" spans="1:95">
      <c r="A7">
        <v>6</v>
      </c>
      <c r="B7" t="s">
        <v>450</v>
      </c>
      <c r="C7" t="s">
        <v>451</v>
      </c>
      <c r="D7" s="2">
        <v>1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0</v>
      </c>
      <c r="L7" s="2">
        <v>8</v>
      </c>
      <c r="M7" s="2">
        <v>5.6</v>
      </c>
      <c r="N7" s="2">
        <v>19</v>
      </c>
      <c r="O7" s="2">
        <v>5.6</v>
      </c>
      <c r="P7" s="2">
        <v>0</v>
      </c>
      <c r="Q7" s="2">
        <v>97</v>
      </c>
      <c r="R7" s="2">
        <v>12</v>
      </c>
      <c r="S7" s="2">
        <v>22</v>
      </c>
      <c r="T7" s="2">
        <v>0</v>
      </c>
      <c r="U7" s="2">
        <v>0</v>
      </c>
      <c r="V7" s="2">
        <v>0</v>
      </c>
      <c r="W7" s="2">
        <v>0</v>
      </c>
      <c r="X7" s="2">
        <v>90</v>
      </c>
      <c r="Y7" s="2">
        <v>10</v>
      </c>
      <c r="Z7" s="2">
        <v>0</v>
      </c>
      <c r="AA7" s="2">
        <v>7</v>
      </c>
      <c r="AB7" s="2">
        <v>97</v>
      </c>
      <c r="AC7" s="2">
        <v>4</v>
      </c>
      <c r="AD7" s="2">
        <v>1</v>
      </c>
      <c r="AE7" s="2">
        <v>1</v>
      </c>
      <c r="AF7" s="2">
        <v>2</v>
      </c>
      <c r="AG7" s="2">
        <v>0</v>
      </c>
      <c r="AH7" s="2">
        <v>0</v>
      </c>
      <c r="AI7" s="2">
        <v>0</v>
      </c>
      <c r="AJ7" s="2">
        <v>1</v>
      </c>
      <c r="AK7" s="2">
        <v>1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1</v>
      </c>
      <c r="AT7" s="2"/>
      <c r="AU7" s="2">
        <v>4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1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2</v>
      </c>
      <c r="BI7" s="2">
        <v>0</v>
      </c>
      <c r="BJ7" s="2">
        <v>2</v>
      </c>
      <c r="BK7" s="2">
        <v>0</v>
      </c>
      <c r="BL7" s="2">
        <v>2</v>
      </c>
      <c r="BM7" s="2">
        <v>0</v>
      </c>
      <c r="BN7" s="2">
        <v>0</v>
      </c>
      <c r="BO7" s="2"/>
      <c r="BP7" s="2"/>
      <c r="BQ7" s="2"/>
      <c r="BR7" s="2"/>
      <c r="BS7" s="2"/>
      <c r="BT7" s="2"/>
      <c r="BU7" s="2"/>
      <c r="BV7" s="2"/>
      <c r="BW7" s="2"/>
      <c r="BX7" s="2"/>
      <c r="BY7" s="2">
        <v>2</v>
      </c>
      <c r="BZ7" s="2">
        <v>5</v>
      </c>
      <c r="CA7" s="2">
        <v>1</v>
      </c>
      <c r="CB7" s="2"/>
      <c r="CC7" s="2"/>
      <c r="CD7" s="2">
        <v>1</v>
      </c>
      <c r="CE7" s="2">
        <v>4</v>
      </c>
      <c r="CF7" s="2">
        <v>1</v>
      </c>
      <c r="CG7" s="2">
        <v>2</v>
      </c>
      <c r="CH7" s="2">
        <v>98</v>
      </c>
      <c r="CI7" s="2">
        <v>1</v>
      </c>
      <c r="CJ7" s="2">
        <v>1</v>
      </c>
      <c r="CK7" s="2">
        <v>97</v>
      </c>
      <c r="CL7" s="2" t="s">
        <v>452</v>
      </c>
      <c r="CM7" s="2">
        <v>2.2999999999999998</v>
      </c>
      <c r="CN7" s="2">
        <v>0</v>
      </c>
      <c r="CO7" s="2">
        <v>4</v>
      </c>
      <c r="CP7" s="2">
        <v>6</v>
      </c>
      <c r="CQ7" s="2">
        <v>3</v>
      </c>
    </row>
    <row r="8" spans="1:95">
      <c r="A8">
        <v>7</v>
      </c>
      <c r="B8" t="s">
        <v>152</v>
      </c>
      <c r="C8" t="s">
        <v>453</v>
      </c>
      <c r="D8" s="2">
        <v>1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97</v>
      </c>
      <c r="N8" s="2">
        <v>0</v>
      </c>
      <c r="O8" s="2">
        <v>97</v>
      </c>
      <c r="P8" s="2">
        <v>2</v>
      </c>
      <c r="Q8" s="2">
        <v>5</v>
      </c>
      <c r="R8" s="2">
        <v>20</v>
      </c>
      <c r="S8" s="2">
        <v>2</v>
      </c>
      <c r="T8" s="2">
        <v>0</v>
      </c>
      <c r="U8" s="2">
        <v>0</v>
      </c>
      <c r="V8" s="2">
        <v>0</v>
      </c>
      <c r="W8" s="2">
        <v>0</v>
      </c>
      <c r="X8" s="2">
        <v>100</v>
      </c>
      <c r="Y8" s="2">
        <v>0</v>
      </c>
      <c r="Z8" s="2">
        <v>0</v>
      </c>
      <c r="AA8" s="2">
        <v>7</v>
      </c>
      <c r="AB8" s="2">
        <v>30</v>
      </c>
      <c r="AC8" s="2">
        <v>3</v>
      </c>
      <c r="AD8" s="2">
        <v>1</v>
      </c>
      <c r="AE8" s="2">
        <v>1</v>
      </c>
      <c r="AF8" s="2">
        <v>2</v>
      </c>
      <c r="AG8" s="2">
        <v>0</v>
      </c>
      <c r="AH8" s="2">
        <v>0</v>
      </c>
      <c r="AI8" s="2">
        <v>0</v>
      </c>
      <c r="AJ8" s="2">
        <v>0</v>
      </c>
      <c r="AK8" s="2">
        <v>1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1</v>
      </c>
      <c r="AT8" s="2"/>
      <c r="AU8" s="2">
        <v>3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1</v>
      </c>
      <c r="BB8" s="2">
        <v>1</v>
      </c>
      <c r="BC8" s="2">
        <v>1</v>
      </c>
      <c r="BD8" s="2">
        <v>0</v>
      </c>
      <c r="BE8" s="2">
        <v>0</v>
      </c>
      <c r="BF8" s="2">
        <v>0</v>
      </c>
      <c r="BG8" s="2">
        <v>0</v>
      </c>
      <c r="BH8" s="2">
        <v>2</v>
      </c>
      <c r="BI8" s="2">
        <v>0</v>
      </c>
      <c r="BJ8" s="2">
        <v>0</v>
      </c>
      <c r="BK8" s="2">
        <v>0</v>
      </c>
      <c r="BL8" s="2">
        <v>2</v>
      </c>
      <c r="BM8" s="2">
        <v>0</v>
      </c>
      <c r="BN8" s="2">
        <v>0</v>
      </c>
      <c r="BO8" s="2"/>
      <c r="BP8" s="2"/>
      <c r="BQ8" s="2"/>
      <c r="BR8" s="2"/>
      <c r="BS8" s="2"/>
      <c r="BT8" s="2"/>
      <c r="BU8" s="2"/>
      <c r="BV8" s="2"/>
      <c r="BW8" s="2"/>
      <c r="BX8" s="2"/>
      <c r="BY8" s="2">
        <v>0</v>
      </c>
      <c r="BZ8" s="6">
        <v>97</v>
      </c>
      <c r="CA8" s="2">
        <v>1</v>
      </c>
      <c r="CB8" s="2"/>
      <c r="CC8" s="2"/>
      <c r="CD8" s="2">
        <v>1</v>
      </c>
      <c r="CE8" s="2">
        <v>4</v>
      </c>
      <c r="CF8" s="2">
        <v>1</v>
      </c>
      <c r="CG8" s="2">
        <v>1</v>
      </c>
      <c r="CH8" s="2">
        <v>25</v>
      </c>
      <c r="CI8" s="2">
        <v>1</v>
      </c>
      <c r="CJ8" s="2">
        <v>1</v>
      </c>
      <c r="CK8" s="2">
        <v>0</v>
      </c>
      <c r="CL8" s="2" t="s">
        <v>454</v>
      </c>
      <c r="CM8" s="2">
        <v>1</v>
      </c>
      <c r="CN8" s="2">
        <v>0</v>
      </c>
      <c r="CO8" s="2">
        <v>5</v>
      </c>
      <c r="CP8" s="2">
        <v>6</v>
      </c>
      <c r="CQ8" s="2">
        <v>4</v>
      </c>
    </row>
    <row r="9" spans="1:95">
      <c r="A9">
        <v>8</v>
      </c>
      <c r="B9" t="s">
        <v>236</v>
      </c>
      <c r="C9" t="s">
        <v>455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 t="s">
        <v>456</v>
      </c>
      <c r="L9" s="2">
        <v>0</v>
      </c>
      <c r="M9" s="2">
        <v>97</v>
      </c>
      <c r="N9" s="2">
        <v>5</v>
      </c>
      <c r="O9" s="2">
        <v>6</v>
      </c>
      <c r="P9" s="2">
        <v>2</v>
      </c>
      <c r="Q9" s="2">
        <v>6</v>
      </c>
      <c r="R9" s="2">
        <v>5</v>
      </c>
      <c r="S9" s="2">
        <v>0</v>
      </c>
      <c r="T9" s="2">
        <v>0</v>
      </c>
      <c r="U9" s="2">
        <v>20</v>
      </c>
      <c r="V9" s="2">
        <v>20</v>
      </c>
      <c r="W9" s="2">
        <v>20</v>
      </c>
      <c r="X9" s="2">
        <v>20</v>
      </c>
      <c r="Y9" s="2">
        <v>20</v>
      </c>
      <c r="Z9" s="2">
        <v>0</v>
      </c>
      <c r="AA9" s="2">
        <v>7</v>
      </c>
      <c r="AB9" s="2">
        <v>55</v>
      </c>
      <c r="AC9" s="2">
        <v>4</v>
      </c>
      <c r="AD9" s="2">
        <v>1</v>
      </c>
      <c r="AE9" s="2">
        <v>1</v>
      </c>
      <c r="AF9" s="2">
        <v>3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1</v>
      </c>
      <c r="AS9" s="2">
        <v>1</v>
      </c>
      <c r="AT9" s="2" t="s">
        <v>441</v>
      </c>
      <c r="AU9" s="2">
        <v>3</v>
      </c>
      <c r="AV9" s="2">
        <v>0</v>
      </c>
      <c r="AW9" s="2">
        <v>1</v>
      </c>
      <c r="AX9" s="2">
        <v>1</v>
      </c>
      <c r="AY9" s="2">
        <v>0</v>
      </c>
      <c r="AZ9" s="2">
        <v>0</v>
      </c>
      <c r="BA9" s="2">
        <v>1</v>
      </c>
      <c r="BB9" s="2">
        <v>1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1</v>
      </c>
      <c r="BI9" s="2">
        <v>0</v>
      </c>
      <c r="BJ9" s="2">
        <v>3</v>
      </c>
      <c r="BK9" s="2">
        <v>0</v>
      </c>
      <c r="BL9" s="2">
        <v>2</v>
      </c>
      <c r="BM9" s="2">
        <v>0</v>
      </c>
      <c r="BN9" s="2">
        <v>0</v>
      </c>
      <c r="BO9" s="2">
        <v>50000</v>
      </c>
      <c r="BP9" s="2"/>
      <c r="BQ9" s="2"/>
      <c r="BR9" s="2">
        <f>BO9</f>
        <v>50000</v>
      </c>
      <c r="BS9" s="2"/>
      <c r="BT9" s="2">
        <v>2100</v>
      </c>
      <c r="BU9" s="2"/>
      <c r="BV9" s="2"/>
      <c r="BW9" s="2">
        <f>BT9</f>
        <v>2100</v>
      </c>
      <c r="BX9" s="2"/>
      <c r="BY9" s="2">
        <v>1</v>
      </c>
      <c r="BZ9" s="6">
        <v>90</v>
      </c>
      <c r="CA9" s="2">
        <v>1</v>
      </c>
      <c r="CB9" s="2"/>
      <c r="CC9" s="2"/>
      <c r="CD9" s="2">
        <v>0</v>
      </c>
      <c r="CE9" s="2">
        <v>2</v>
      </c>
      <c r="CF9" s="2">
        <v>4</v>
      </c>
      <c r="CG9" s="2">
        <v>0</v>
      </c>
      <c r="CH9" s="2">
        <v>97</v>
      </c>
      <c r="CI9" s="2">
        <v>1</v>
      </c>
      <c r="CJ9" s="2">
        <v>1</v>
      </c>
      <c r="CK9" s="2">
        <v>1</v>
      </c>
      <c r="CL9" s="2" t="s">
        <v>457</v>
      </c>
      <c r="CM9" s="2">
        <v>2.2999999999999998</v>
      </c>
      <c r="CN9" s="2">
        <v>0</v>
      </c>
      <c r="CO9" s="2">
        <v>4</v>
      </c>
      <c r="CP9" s="2">
        <v>7</v>
      </c>
      <c r="CQ9" s="2">
        <v>5</v>
      </c>
    </row>
    <row r="10" spans="1:95">
      <c r="A10">
        <v>9</v>
      </c>
      <c r="B10" t="s">
        <v>458</v>
      </c>
      <c r="C10" t="s">
        <v>459</v>
      </c>
      <c r="D10" s="2">
        <v>2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97</v>
      </c>
      <c r="N10" s="2">
        <v>0</v>
      </c>
      <c r="O10" s="2">
        <v>97</v>
      </c>
      <c r="P10" s="2">
        <v>0</v>
      </c>
      <c r="Q10" s="2">
        <v>97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100</v>
      </c>
      <c r="Z10" s="2">
        <v>0</v>
      </c>
      <c r="AA10" s="2">
        <v>7</v>
      </c>
      <c r="AB10" s="2">
        <v>50</v>
      </c>
      <c r="AC10" s="2">
        <v>7</v>
      </c>
      <c r="AD10" s="2">
        <v>1</v>
      </c>
      <c r="AE10" s="2">
        <v>1</v>
      </c>
      <c r="AF10" s="2">
        <v>2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</v>
      </c>
      <c r="AT10" s="2"/>
      <c r="AU10" s="2">
        <v>7</v>
      </c>
      <c r="AV10" s="2">
        <v>97</v>
      </c>
      <c r="AW10" s="2">
        <v>97</v>
      </c>
      <c r="AX10" s="2">
        <v>97</v>
      </c>
      <c r="AY10" s="2">
        <v>97</v>
      </c>
      <c r="AZ10" s="2">
        <v>97</v>
      </c>
      <c r="BA10" s="2">
        <v>97</v>
      </c>
      <c r="BB10" s="2">
        <v>97</v>
      </c>
      <c r="BC10" s="2">
        <v>97</v>
      </c>
      <c r="BD10" s="2">
        <v>97</v>
      </c>
      <c r="BE10" s="2">
        <v>97</v>
      </c>
      <c r="BF10" s="2">
        <v>97</v>
      </c>
      <c r="BG10" s="2">
        <v>97</v>
      </c>
      <c r="BH10" s="2">
        <v>4</v>
      </c>
      <c r="BI10" s="2">
        <v>0</v>
      </c>
      <c r="BJ10" s="2">
        <v>0</v>
      </c>
      <c r="BK10" s="2">
        <v>0</v>
      </c>
      <c r="BL10" s="2">
        <v>0</v>
      </c>
      <c r="BM10" s="2">
        <v>1</v>
      </c>
      <c r="BN10" s="2">
        <v>0</v>
      </c>
      <c r="BO10" s="2">
        <v>1400</v>
      </c>
      <c r="BP10" s="2"/>
      <c r="BQ10" s="2"/>
      <c r="BR10" s="2">
        <f>BO10</f>
        <v>1400</v>
      </c>
      <c r="BS10" s="2"/>
      <c r="BT10" s="2">
        <v>24</v>
      </c>
      <c r="BU10" s="2"/>
      <c r="BV10" s="2"/>
      <c r="BW10" s="2">
        <f>BT10</f>
        <v>24</v>
      </c>
      <c r="BX10" s="2"/>
      <c r="BY10" s="2">
        <v>0</v>
      </c>
      <c r="BZ10" s="6">
        <v>97</v>
      </c>
      <c r="CA10" s="2">
        <v>1</v>
      </c>
      <c r="CB10" s="2"/>
      <c r="CC10" s="2"/>
      <c r="CD10" s="2">
        <v>0</v>
      </c>
      <c r="CE10" s="2">
        <v>2</v>
      </c>
      <c r="CF10" s="2">
        <v>6</v>
      </c>
      <c r="CG10" s="2">
        <v>2</v>
      </c>
      <c r="CH10" s="2">
        <v>98</v>
      </c>
      <c r="CI10" s="2">
        <v>1</v>
      </c>
      <c r="CJ10" s="2">
        <v>0</v>
      </c>
      <c r="CK10" s="2">
        <v>1</v>
      </c>
      <c r="CL10" s="2" t="s">
        <v>457</v>
      </c>
      <c r="CM10" s="2">
        <v>2</v>
      </c>
      <c r="CN10" s="2">
        <v>1</v>
      </c>
      <c r="CO10" s="2">
        <v>4</v>
      </c>
      <c r="CP10" s="2">
        <v>4</v>
      </c>
      <c r="CQ10" s="2">
        <v>2</v>
      </c>
    </row>
    <row r="11" spans="1:95">
      <c r="A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>
        <f>SUM(BR2:BR10)</f>
        <v>123065</v>
      </c>
      <c r="BS11" s="2"/>
      <c r="BT11" s="2"/>
      <c r="BU11" s="2"/>
      <c r="BV11" s="2"/>
      <c r="BW11" s="2">
        <f>SUM(BW2:BW10)</f>
        <v>3439.5</v>
      </c>
      <c r="BX11" s="2"/>
      <c r="BY11" s="2"/>
      <c r="BZ11" s="2"/>
      <c r="CA11" s="2"/>
      <c r="CB11" s="2"/>
      <c r="CC11" s="2"/>
      <c r="CD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F12" s="2"/>
      <c r="CG12" s="2"/>
      <c r="CH12" s="2">
        <f>AVERAGE(CH6+CH8)</f>
        <v>75</v>
      </c>
      <c r="CI12" s="2"/>
      <c r="CJ12" s="2"/>
      <c r="CK12" s="2"/>
      <c r="CL12" s="2"/>
      <c r="CM12" s="2"/>
      <c r="CN12" s="2"/>
      <c r="CO12" s="2"/>
      <c r="CP12" s="2"/>
      <c r="CQ12" s="2"/>
    </row>
    <row r="13" spans="1:9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Z13" t="s">
        <v>388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Z14" s="11">
        <f>SUM([1]Ark2!B35:F35)</f>
        <v>1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Z15" s="11">
        <f>SUM([1]Ark2!B36:F36)</f>
        <v>1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Z16" s="11">
        <f>SUM([1]Ark2!B37:F37)</f>
        <v>1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>
        <v>154050</v>
      </c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4:9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Z17" s="11">
        <f>SUM([1]Ark2!B38:F38)</f>
        <v>1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>
        <v>123065</v>
      </c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6"/>
      <c r="CA17" s="2"/>
      <c r="CB17" s="2"/>
      <c r="CC17" s="2"/>
      <c r="CD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4:9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Z18" s="11">
        <f>SUM([1]Ark2!B39:F39)</f>
        <v>1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>
        <f>BO16-BO17</f>
        <v>30985</v>
      </c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4:9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Z19" s="11">
        <f>SUM([1]Ark2!B40:F40)</f>
        <v>1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4:9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Z20" s="11">
        <f>SUM([1]Ark2!B41:F41)</f>
        <v>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4:9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Z21" s="11">
        <f>SUM([1]Ark2!B42:F42)</f>
        <v>1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4:95"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Z22" s="11">
        <f>SUM([1]Ark2!B43:F43)</f>
        <v>1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3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4:9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4:9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4:9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4:9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4:9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4"/>
      <c r="CA27" s="2"/>
      <c r="CB27" s="2"/>
      <c r="CC27" s="2"/>
      <c r="CD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4:9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3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4:9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4:9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3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4:9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4:9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3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4:9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4:9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4:9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4:9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3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4:9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4:9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4:9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4:9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3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4:9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4:9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3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4:9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3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4:9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4:9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4:9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4:9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3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4:9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4:9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4:9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4:9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4:9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4:9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4:9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4:9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4:9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3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4:9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4:9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4:9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4:9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4:9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4:9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4:9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4:9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4:9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4:9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4:9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4:9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4:9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4:9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4:9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4:9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4:9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4:9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4:9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4:9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4:9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4:9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4:9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4:9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4:9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3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4:9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4:9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4:9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4:9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4:9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4:9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4:9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4:9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4:9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4:9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4:9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4:9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4:9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4:9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4:9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9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1:9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>
      <c r="B105" s="14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1:95">
      <c r="A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1:9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3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1:9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1:9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3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1:9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3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1:9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3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1:9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3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1:9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1:9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3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1:9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3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1:9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1:9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1:9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3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1:9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3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1:95">
      <c r="A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1:95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1:95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1:95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4:95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4:95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4:95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4:95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4:95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6"/>
      <c r="CA133" s="2"/>
      <c r="CB133" s="2"/>
      <c r="CC133" s="2"/>
      <c r="CD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4:95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4"/>
      <c r="CA134" s="2"/>
      <c r="CB134" s="2"/>
      <c r="CC134" s="2"/>
      <c r="CD134" s="2"/>
      <c r="CE134" s="3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4:95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4:95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4:9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4:9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4:9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4:9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4:9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4:9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4:9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4:9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4:95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4:9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4:95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4:95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4:95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4:95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4:9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3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4:9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3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4:9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3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4:9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4:9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3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4:9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4:9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3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4:9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4:9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3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4:9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1:9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1:9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1:95">
      <c r="A163" s="2"/>
    </row>
    <row r="164" spans="1:95">
      <c r="A164" s="2"/>
      <c r="CA164" s="1"/>
    </row>
    <row r="165" spans="1:95">
      <c r="A165" s="2"/>
    </row>
    <row r="166" spans="1:95">
      <c r="A166" s="2"/>
      <c r="CA166" s="18"/>
    </row>
    <row r="167" spans="1:95">
      <c r="A167" s="2"/>
    </row>
    <row r="168" spans="1:95">
      <c r="A168" s="2"/>
    </row>
    <row r="169" spans="1:95">
      <c r="A169" s="2"/>
    </row>
    <row r="170" spans="1:95">
      <c r="A170" s="2"/>
    </row>
    <row r="171" spans="1:95">
      <c r="A171" s="2"/>
    </row>
    <row r="172" spans="1:95">
      <c r="A172" s="2"/>
    </row>
    <row r="173" spans="1:95">
      <c r="A173" s="2"/>
    </row>
    <row r="174" spans="1:95">
      <c r="A174" s="2"/>
      <c r="U174" s="1"/>
      <c r="V174" s="1"/>
      <c r="W174" s="1"/>
      <c r="X174" s="1"/>
      <c r="Y174" s="1"/>
      <c r="Z174" s="1"/>
    </row>
    <row r="175" spans="1:95">
      <c r="A175" s="2"/>
      <c r="U175" s="1"/>
      <c r="V175" s="1"/>
      <c r="W175" s="1"/>
      <c r="X175" s="1"/>
      <c r="Y175" s="1"/>
      <c r="Z175" s="1"/>
    </row>
    <row r="176" spans="1:95">
      <c r="A176" s="2"/>
      <c r="U176" s="1"/>
      <c r="V176" s="1"/>
      <c r="W176" s="1"/>
      <c r="X176" s="1"/>
      <c r="Y176" s="1"/>
      <c r="Z176" s="1"/>
    </row>
    <row r="177" spans="1:28">
      <c r="A177" s="2"/>
      <c r="U177" s="1"/>
      <c r="V177" s="1"/>
      <c r="W177" s="1"/>
      <c r="X177" s="1"/>
      <c r="Y177" s="1"/>
      <c r="Z177" s="1"/>
    </row>
    <row r="178" spans="1:28">
      <c r="A178" s="2"/>
      <c r="U178" s="1"/>
      <c r="V178" s="1"/>
      <c r="W178" s="1"/>
      <c r="X178" s="1"/>
      <c r="Y178" s="1"/>
      <c r="Z178" s="1"/>
    </row>
    <row r="179" spans="1:28">
      <c r="U179" s="1"/>
      <c r="V179" s="1"/>
      <c r="W179" s="1"/>
      <c r="X179" s="1"/>
      <c r="Y179" s="1"/>
      <c r="Z179" s="1"/>
    </row>
    <row r="180" spans="1:28">
      <c r="U180" s="1"/>
      <c r="V180" s="1"/>
      <c r="W180" s="1"/>
      <c r="X180" s="1"/>
      <c r="Y180" s="1"/>
      <c r="Z180" s="1"/>
    </row>
    <row r="181" spans="1:28">
      <c r="U181" s="1"/>
      <c r="V181" s="1"/>
      <c r="W181" s="1"/>
      <c r="X181" s="1"/>
      <c r="Y181" s="1"/>
      <c r="Z181" s="1"/>
    </row>
    <row r="182" spans="1:28">
      <c r="U182" s="8"/>
      <c r="V182" s="8"/>
      <c r="W182" s="8"/>
      <c r="X182" s="8"/>
      <c r="Y182" s="8"/>
      <c r="Z182" s="8"/>
    </row>
    <row r="183" spans="1:28">
      <c r="U183" s="1"/>
      <c r="V183" s="1"/>
      <c r="W183" s="1"/>
      <c r="X183" s="1"/>
      <c r="Y183" s="1"/>
      <c r="Z183" s="1"/>
      <c r="AA183" s="1"/>
      <c r="AB183" s="1"/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8"/>
  <sheetViews>
    <sheetView tabSelected="1" topLeftCell="T27" workbookViewId="0">
      <selection activeCell="AC63" sqref="AC63"/>
    </sheetView>
  </sheetViews>
  <sheetFormatPr baseColWidth="10" defaultRowHeight="15" x14ac:dyDescent="0"/>
  <cols>
    <col min="4" max="4" width="23.7109375" customWidth="1"/>
    <col min="5" max="5" width="23.5703125" customWidth="1"/>
    <col min="6" max="6" width="7.5703125" customWidth="1"/>
    <col min="7" max="7" width="14.140625" customWidth="1"/>
    <col min="8" max="9" width="32.140625" customWidth="1"/>
    <col min="13" max="13" width="26" customWidth="1"/>
    <col min="17" max="17" width="21.85546875" customWidth="1"/>
    <col min="18" max="18" width="12.28515625" bestFit="1" customWidth="1"/>
    <col min="19" max="19" width="10.85546875" bestFit="1" customWidth="1"/>
    <col min="21" max="21" width="13" customWidth="1"/>
    <col min="24" max="24" width="29.42578125" customWidth="1"/>
    <col min="25" max="25" width="14.7109375" customWidth="1"/>
    <col min="26" max="26" width="20.42578125" customWidth="1"/>
    <col min="27" max="27" width="20.140625" customWidth="1"/>
    <col min="28" max="28" width="20.28515625" customWidth="1"/>
    <col min="29" max="30" width="21.7109375" customWidth="1"/>
    <col min="31" max="31" width="28.5703125" customWidth="1"/>
    <col min="32" max="32" width="15.5703125" customWidth="1"/>
    <col min="33" max="33" width="21.7109375" customWidth="1"/>
    <col min="34" max="35" width="21.85546875" customWidth="1"/>
    <col min="36" max="36" width="14.140625" bestFit="1" customWidth="1"/>
  </cols>
  <sheetData>
    <row r="1" spans="2:35" ht="15" customHeight="1">
      <c r="B1" s="114" t="s">
        <v>195</v>
      </c>
      <c r="C1" s="114"/>
      <c r="D1" s="114"/>
      <c r="E1" s="114"/>
      <c r="F1" s="66"/>
      <c r="G1" s="86"/>
      <c r="H1" s="114" t="s">
        <v>229</v>
      </c>
      <c r="I1" s="114"/>
      <c r="J1" s="36"/>
      <c r="K1" s="114" t="s">
        <v>201</v>
      </c>
      <c r="L1" s="114"/>
      <c r="M1" s="114"/>
      <c r="N1" s="114"/>
      <c r="O1" s="114"/>
      <c r="Q1" s="114" t="s">
        <v>346</v>
      </c>
      <c r="R1" s="114"/>
      <c r="S1" s="114"/>
      <c r="T1" s="114"/>
      <c r="U1" s="114"/>
      <c r="V1" s="114"/>
      <c r="X1" s="114" t="s">
        <v>347</v>
      </c>
      <c r="Y1" s="114"/>
      <c r="Z1" s="114"/>
      <c r="AA1" s="114"/>
      <c r="AB1" s="114"/>
      <c r="AE1" s="114" t="s">
        <v>348</v>
      </c>
      <c r="AF1" s="114"/>
      <c r="AG1" s="114"/>
      <c r="AH1" s="114"/>
      <c r="AI1" s="114"/>
    </row>
    <row r="2" spans="2:35" ht="15" customHeight="1">
      <c r="B2" s="114"/>
      <c r="C2" s="114"/>
      <c r="D2" s="114"/>
      <c r="E2" s="114"/>
      <c r="F2" s="66"/>
      <c r="G2" s="86"/>
      <c r="H2" s="114"/>
      <c r="I2" s="114"/>
      <c r="J2" s="36"/>
      <c r="K2" s="114"/>
      <c r="L2" s="114"/>
      <c r="M2" s="114"/>
      <c r="N2" s="114"/>
      <c r="O2" s="114"/>
      <c r="Q2" s="114"/>
      <c r="R2" s="114"/>
      <c r="S2" s="114"/>
      <c r="T2" s="114"/>
      <c r="U2" s="114"/>
      <c r="V2" s="114"/>
      <c r="X2" s="114"/>
      <c r="Y2" s="114"/>
      <c r="Z2" s="114"/>
      <c r="AA2" s="114"/>
      <c r="AB2" s="114"/>
      <c r="AE2" s="114"/>
      <c r="AF2" s="114"/>
      <c r="AG2" s="114"/>
      <c r="AH2" s="114"/>
      <c r="AI2" s="114"/>
    </row>
    <row r="3" spans="2:35" ht="15" customHeight="1">
      <c r="B3" s="115"/>
      <c r="C3" s="115"/>
      <c r="D3" s="115"/>
      <c r="E3" s="115"/>
      <c r="F3" s="38"/>
      <c r="G3" s="38"/>
      <c r="H3" s="114"/>
      <c r="I3" s="114"/>
      <c r="J3" s="36"/>
      <c r="K3" s="114"/>
      <c r="L3" s="114"/>
      <c r="M3" s="114"/>
      <c r="N3" s="114"/>
      <c r="O3" s="114"/>
      <c r="Q3" s="114"/>
      <c r="R3" s="114"/>
      <c r="S3" s="114"/>
      <c r="T3" s="114"/>
      <c r="U3" s="114"/>
      <c r="V3" s="114"/>
      <c r="X3" s="114"/>
      <c r="Y3" s="114"/>
      <c r="Z3" s="114"/>
      <c r="AA3" s="114"/>
      <c r="AB3" s="114"/>
      <c r="AE3" s="114"/>
      <c r="AF3" s="114"/>
      <c r="AG3" s="114"/>
      <c r="AH3" s="114"/>
      <c r="AI3" s="114"/>
    </row>
    <row r="4" spans="2:35" ht="15" customHeight="1">
      <c r="B4" s="38"/>
      <c r="C4" s="38"/>
      <c r="D4" s="38"/>
      <c r="E4" s="38"/>
      <c r="F4" s="38"/>
      <c r="G4" s="38"/>
      <c r="H4" s="86"/>
      <c r="I4" s="86"/>
      <c r="J4" s="36"/>
      <c r="K4" s="17"/>
      <c r="L4" s="17"/>
      <c r="M4" s="17"/>
      <c r="N4" s="17"/>
      <c r="O4" s="17"/>
    </row>
    <row r="5" spans="2:35" ht="16" thickBot="1">
      <c r="B5" s="30" t="s">
        <v>182</v>
      </c>
      <c r="C5" s="31"/>
      <c r="D5" s="32"/>
      <c r="E5" s="29" t="s">
        <v>216</v>
      </c>
      <c r="F5" s="27"/>
      <c r="G5" s="27"/>
      <c r="H5" s="87" t="s">
        <v>207</v>
      </c>
      <c r="I5" s="88"/>
      <c r="J5" s="20"/>
      <c r="K5" s="39" t="s">
        <v>277</v>
      </c>
      <c r="L5" s="25"/>
      <c r="M5" s="25"/>
      <c r="N5" s="25"/>
      <c r="O5" s="26"/>
      <c r="Q5" s="57" t="s">
        <v>322</v>
      </c>
      <c r="R5" s="25"/>
      <c r="S5" s="100">
        <f>43*22*12</f>
        <v>11352</v>
      </c>
      <c r="T5" s="26" t="s">
        <v>180</v>
      </c>
      <c r="X5" s="57" t="s">
        <v>272</v>
      </c>
      <c r="Y5" s="25"/>
      <c r="Z5" s="25"/>
      <c r="AA5" s="25"/>
      <c r="AB5" s="26">
        <v>1</v>
      </c>
      <c r="AE5" s="57" t="s">
        <v>272</v>
      </c>
      <c r="AF5" s="25"/>
      <c r="AG5" s="25"/>
      <c r="AH5" s="25"/>
      <c r="AI5" s="26">
        <v>1</v>
      </c>
    </row>
    <row r="6" spans="2:35">
      <c r="B6" s="19" t="s">
        <v>183</v>
      </c>
      <c r="C6" s="20"/>
      <c r="D6" s="21">
        <f>COUNTIF('Cleaned raw data receivers'!H$2:H$110,"1")</f>
        <v>0</v>
      </c>
      <c r="E6" s="28">
        <f>(D6*10)*22</f>
        <v>0</v>
      </c>
      <c r="F6" s="20"/>
      <c r="G6" s="20"/>
      <c r="H6" s="19" t="s">
        <v>275</v>
      </c>
      <c r="I6" s="89">
        <f>'Cleaned raw data receivers'!AW112</f>
        <v>14201.27272727273</v>
      </c>
      <c r="J6" s="20"/>
      <c r="K6" s="48" t="s">
        <v>278</v>
      </c>
      <c r="L6" s="90"/>
      <c r="M6" s="90"/>
      <c r="N6" s="90"/>
      <c r="O6" s="74"/>
      <c r="Q6" s="22" t="s">
        <v>324</v>
      </c>
      <c r="R6" s="23"/>
      <c r="S6" s="23">
        <f>6*22*12</f>
        <v>1584</v>
      </c>
      <c r="T6" s="24" t="s">
        <v>323</v>
      </c>
      <c r="X6" s="19" t="s">
        <v>273</v>
      </c>
      <c r="Y6" s="20"/>
      <c r="Z6" s="20"/>
      <c r="AA6" s="20"/>
      <c r="AB6" s="21">
        <v>2</v>
      </c>
      <c r="AE6" s="19" t="s">
        <v>273</v>
      </c>
      <c r="AF6" s="20"/>
      <c r="AG6" s="20"/>
      <c r="AH6" s="20"/>
      <c r="AI6" s="21">
        <v>2</v>
      </c>
    </row>
    <row r="7" spans="2:35">
      <c r="B7" s="19" t="s">
        <v>184</v>
      </c>
      <c r="C7" s="20"/>
      <c r="D7" s="21">
        <f>COUNTIF('Cleaned raw data receivers'!H$2:H$110,"2")</f>
        <v>0</v>
      </c>
      <c r="E7" s="28">
        <f>(D7*6.5)*22</f>
        <v>0</v>
      </c>
      <c r="F7" s="20"/>
      <c r="G7" s="20"/>
      <c r="H7" s="19" t="s">
        <v>208</v>
      </c>
      <c r="I7" s="43">
        <f>I6/1000</f>
        <v>14.20127272727273</v>
      </c>
      <c r="J7" s="20"/>
      <c r="K7" s="19" t="s">
        <v>295</v>
      </c>
      <c r="L7" s="20"/>
      <c r="M7" s="20"/>
      <c r="N7" s="20">
        <v>10</v>
      </c>
      <c r="O7" s="21" t="s">
        <v>202</v>
      </c>
      <c r="X7" s="22" t="s">
        <v>271</v>
      </c>
      <c r="Y7" s="23"/>
      <c r="Z7" s="23"/>
      <c r="AA7" s="23"/>
      <c r="AB7" s="45">
        <f>E17</f>
        <v>102.04545454545455</v>
      </c>
      <c r="AE7" s="22" t="s">
        <v>271</v>
      </c>
      <c r="AF7" s="23"/>
      <c r="AG7" s="23"/>
      <c r="AH7" s="23"/>
      <c r="AI7" s="45">
        <f>E17</f>
        <v>102.04545454545455</v>
      </c>
    </row>
    <row r="8" spans="2:35">
      <c r="B8" s="19" t="s">
        <v>185</v>
      </c>
      <c r="C8" s="20"/>
      <c r="D8" s="21">
        <f>COUNTIF('Cleaned raw data receivers'!H$2:H$110,"3")</f>
        <v>4</v>
      </c>
      <c r="E8" s="28">
        <f>(D8*4.5)*22</f>
        <v>396</v>
      </c>
      <c r="F8" s="20"/>
      <c r="G8" s="20"/>
      <c r="H8" s="44" t="s">
        <v>209</v>
      </c>
      <c r="I8" s="45">
        <f>I6/333</f>
        <v>42.646464646464651</v>
      </c>
      <c r="J8" s="20"/>
      <c r="K8" s="48" t="s">
        <v>279</v>
      </c>
      <c r="L8" s="20"/>
      <c r="M8" s="20"/>
      <c r="N8" s="20"/>
      <c r="O8" s="21"/>
      <c r="Q8" s="39" t="s">
        <v>307</v>
      </c>
      <c r="R8" s="98" t="s">
        <v>305</v>
      </c>
      <c r="S8" s="98" t="s">
        <v>306</v>
      </c>
      <c r="T8" s="98" t="s">
        <v>304</v>
      </c>
      <c r="U8" s="98" t="s">
        <v>309</v>
      </c>
      <c r="V8" s="99" t="s">
        <v>303</v>
      </c>
      <c r="X8" s="19"/>
      <c r="Y8" s="20"/>
      <c r="Z8" s="20"/>
      <c r="AA8" s="20"/>
      <c r="AB8" s="21"/>
    </row>
    <row r="9" spans="2:35">
      <c r="B9" s="19" t="s">
        <v>186</v>
      </c>
      <c r="C9" s="20"/>
      <c r="D9" s="21">
        <f>COUNTIF('Cleaned raw data receivers'!H$2:H$110,"4")</f>
        <v>18</v>
      </c>
      <c r="E9" s="28">
        <f>(D9*2.5)*22</f>
        <v>990</v>
      </c>
      <c r="F9" s="20"/>
      <c r="G9" s="20"/>
      <c r="H9" s="20"/>
      <c r="I9" s="20"/>
      <c r="J9" s="20"/>
      <c r="K9" s="19" t="s">
        <v>203</v>
      </c>
      <c r="L9" s="20"/>
      <c r="M9" s="20"/>
      <c r="N9" s="20">
        <v>13</v>
      </c>
      <c r="O9" s="21" t="s">
        <v>202</v>
      </c>
      <c r="Q9" s="19" t="s">
        <v>310</v>
      </c>
      <c r="R9" s="20">
        <v>14</v>
      </c>
      <c r="S9" s="20">
        <v>8</v>
      </c>
      <c r="T9" s="20">
        <v>4.5</v>
      </c>
      <c r="U9" s="20">
        <f t="shared" ref="U9:U14" si="0">R9*S9</f>
        <v>112</v>
      </c>
      <c r="V9" s="21"/>
      <c r="X9" s="96" t="s">
        <v>301</v>
      </c>
      <c r="Y9" s="25"/>
      <c r="Z9" s="25"/>
      <c r="AA9" s="25"/>
      <c r="AB9" s="26"/>
      <c r="AE9" s="96" t="s">
        <v>301</v>
      </c>
      <c r="AF9" s="25"/>
      <c r="AG9" s="25"/>
      <c r="AH9" s="25"/>
      <c r="AI9" s="26"/>
    </row>
    <row r="10" spans="2:35">
      <c r="B10" s="19" t="s">
        <v>187</v>
      </c>
      <c r="C10" s="20"/>
      <c r="D10" s="21">
        <f>COUNTIF('Cleaned raw data receivers'!H$2:H$110,"5")</f>
        <v>15</v>
      </c>
      <c r="E10" s="28">
        <f>(D10*1)*22</f>
        <v>330</v>
      </c>
      <c r="F10" s="20"/>
      <c r="G10" s="20"/>
      <c r="H10" s="39" t="s">
        <v>276</v>
      </c>
      <c r="I10" s="26"/>
      <c r="J10" s="20"/>
      <c r="K10" s="55" t="s">
        <v>204</v>
      </c>
      <c r="L10" s="20"/>
      <c r="M10" s="20"/>
      <c r="N10" s="20">
        <v>2</v>
      </c>
      <c r="O10" s="21" t="s">
        <v>202</v>
      </c>
      <c r="Q10" s="19" t="s">
        <v>311</v>
      </c>
      <c r="R10" s="20">
        <v>2</v>
      </c>
      <c r="S10" s="33">
        <v>6</v>
      </c>
      <c r="T10" s="20"/>
      <c r="U10" s="20">
        <f t="shared" si="0"/>
        <v>12</v>
      </c>
      <c r="V10" s="21"/>
      <c r="X10" s="91" t="s">
        <v>296</v>
      </c>
      <c r="Y10" s="92" t="s">
        <v>268</v>
      </c>
      <c r="Z10" s="92" t="s">
        <v>269</v>
      </c>
      <c r="AA10" s="92" t="s">
        <v>274</v>
      </c>
      <c r="AB10" s="93" t="s">
        <v>288</v>
      </c>
      <c r="AE10" s="91" t="s">
        <v>298</v>
      </c>
      <c r="AF10" s="92" t="s">
        <v>268</v>
      </c>
      <c r="AG10" s="92" t="s">
        <v>269</v>
      </c>
      <c r="AH10" s="92" t="s">
        <v>274</v>
      </c>
      <c r="AI10" s="93" t="s">
        <v>288</v>
      </c>
    </row>
    <row r="11" spans="2:35">
      <c r="B11" s="19" t="s">
        <v>188</v>
      </c>
      <c r="C11" s="20"/>
      <c r="D11" s="21">
        <f>COUNTIF('Cleaned raw data receivers'!H$2:H$110,"6")</f>
        <v>20</v>
      </c>
      <c r="E11" s="28">
        <f>(D11*(4/5.5))*22</f>
        <v>320</v>
      </c>
      <c r="F11" s="20"/>
      <c r="G11" s="20"/>
      <c r="H11" s="19" t="s">
        <v>210</v>
      </c>
      <c r="I11" s="21">
        <f>770/1000</f>
        <v>0.77</v>
      </c>
      <c r="J11" s="20"/>
      <c r="K11" s="56" t="s">
        <v>205</v>
      </c>
      <c r="L11" s="23"/>
      <c r="M11" s="23"/>
      <c r="N11" s="23">
        <f>N9+N10</f>
        <v>15</v>
      </c>
      <c r="O11" s="24" t="s">
        <v>202</v>
      </c>
      <c r="Q11" s="19" t="s">
        <v>219</v>
      </c>
      <c r="R11" s="34">
        <v>6</v>
      </c>
      <c r="S11" s="20">
        <v>6</v>
      </c>
      <c r="T11" s="20">
        <v>2</v>
      </c>
      <c r="U11" s="20">
        <f t="shared" si="0"/>
        <v>36</v>
      </c>
      <c r="V11" s="21">
        <f>U11*T11</f>
        <v>72</v>
      </c>
      <c r="X11" s="48" t="s">
        <v>264</v>
      </c>
      <c r="Y11" s="20"/>
      <c r="Z11" s="20"/>
      <c r="AA11" s="20"/>
      <c r="AB11" s="21"/>
      <c r="AE11" s="48" t="s">
        <v>264</v>
      </c>
      <c r="AF11" s="20"/>
      <c r="AG11" s="20"/>
      <c r="AH11" s="20"/>
      <c r="AI11" s="21"/>
    </row>
    <row r="12" spans="2:35">
      <c r="B12" s="19" t="s">
        <v>189</v>
      </c>
      <c r="C12" s="20"/>
      <c r="D12" s="21">
        <f>COUNTIF('Cleaned raw data receivers'!H$2:H$110,"7")</f>
        <v>29</v>
      </c>
      <c r="E12" s="28">
        <f>(D12*(1.5/5.5))*22</f>
        <v>173.99999999999997</v>
      </c>
      <c r="F12" s="20"/>
      <c r="G12" s="20"/>
      <c r="H12" s="40" t="s">
        <v>211</v>
      </c>
      <c r="I12" s="21">
        <v>4.2</v>
      </c>
      <c r="J12" s="20"/>
      <c r="Q12" s="19" t="s">
        <v>312</v>
      </c>
      <c r="R12" s="20">
        <v>2</v>
      </c>
      <c r="S12" s="20">
        <v>6</v>
      </c>
      <c r="T12" s="20"/>
      <c r="U12" s="20">
        <f t="shared" si="0"/>
        <v>12</v>
      </c>
      <c r="V12" s="21"/>
      <c r="X12" s="19" t="s">
        <v>265</v>
      </c>
      <c r="Y12" s="20">
        <v>0.72199999999999998</v>
      </c>
      <c r="Z12" s="20">
        <v>1.202</v>
      </c>
      <c r="AA12" s="20">
        <f>(Y12*AB5)+(Z12*AB6)</f>
        <v>3.1259999999999999</v>
      </c>
      <c r="AB12" s="43">
        <f>AA12*AB$7</f>
        <v>318.99409090909091</v>
      </c>
      <c r="AE12" s="19" t="s">
        <v>265</v>
      </c>
      <c r="AF12" s="20">
        <v>880</v>
      </c>
      <c r="AG12" s="20">
        <v>1368</v>
      </c>
      <c r="AH12" s="20">
        <f>(AF12*AI5)+(AG12*AI6)</f>
        <v>3616</v>
      </c>
      <c r="AI12" s="43">
        <f>AH12*AI$7</f>
        <v>368996.36363636365</v>
      </c>
    </row>
    <row r="13" spans="2:35">
      <c r="B13" s="19" t="s">
        <v>190</v>
      </c>
      <c r="C13" s="20"/>
      <c r="D13" s="21">
        <f>COUNTIF('Cleaned raw data receivers'!H$2:H$110,"8")</f>
        <v>16</v>
      </c>
      <c r="E13" s="28">
        <f>(D13*2)</f>
        <v>32</v>
      </c>
      <c r="F13" s="20"/>
      <c r="G13" s="20"/>
      <c r="H13" s="40"/>
      <c r="I13" s="21"/>
      <c r="J13" s="20"/>
      <c r="K13" s="57" t="s">
        <v>206</v>
      </c>
      <c r="L13" s="25"/>
      <c r="M13" s="25"/>
      <c r="N13" s="58">
        <f>E32</f>
        <v>62.335999999999984</v>
      </c>
      <c r="Q13" s="22" t="s">
        <v>220</v>
      </c>
      <c r="R13" s="23">
        <v>8</v>
      </c>
      <c r="S13" s="23">
        <v>8</v>
      </c>
      <c r="T13" s="23"/>
      <c r="U13" s="23">
        <f t="shared" si="0"/>
        <v>64</v>
      </c>
      <c r="V13" s="24"/>
      <c r="X13" s="19" t="s">
        <v>266</v>
      </c>
      <c r="Y13" s="20">
        <v>0.48099999999999998</v>
      </c>
      <c r="Z13" s="20">
        <v>0.86899999999999999</v>
      </c>
      <c r="AA13" s="20">
        <f>(Y13*AB5)+(Z13*AB6)</f>
        <v>2.2189999999999999</v>
      </c>
      <c r="AB13" s="43">
        <f>AA13*AB$7</f>
        <v>226.43886363636364</v>
      </c>
      <c r="AE13" s="19" t="s">
        <v>266</v>
      </c>
      <c r="AF13" s="20">
        <v>796</v>
      </c>
      <c r="AG13" s="20">
        <v>1235</v>
      </c>
      <c r="AH13" s="20">
        <f>(AF13*AI5)+(AG13*AI6)</f>
        <v>3266</v>
      </c>
      <c r="AI13" s="43">
        <f>AH13*AI$7</f>
        <v>333280.45454545453</v>
      </c>
    </row>
    <row r="14" spans="2:35">
      <c r="B14" s="19" t="s">
        <v>191</v>
      </c>
      <c r="C14" s="20"/>
      <c r="D14" s="21">
        <f>COUNTIF('Cleaned raw data receivers'!H$2:H$110,"9")</f>
        <v>6</v>
      </c>
      <c r="E14" s="21">
        <f>(D14*0.5)</f>
        <v>3</v>
      </c>
      <c r="F14" s="20"/>
      <c r="G14" s="20"/>
      <c r="H14" s="41" t="s">
        <v>212</v>
      </c>
      <c r="I14" s="21"/>
      <c r="J14" s="20"/>
      <c r="K14" s="40" t="s">
        <v>224</v>
      </c>
      <c r="L14" s="20"/>
      <c r="M14" s="20"/>
      <c r="N14" s="47">
        <f>I7/N13</f>
        <v>0.22781815848422635</v>
      </c>
      <c r="Q14" s="22" t="s">
        <v>308</v>
      </c>
      <c r="R14" s="23">
        <f>SUM(R9:R13)</f>
        <v>32</v>
      </c>
      <c r="S14" s="23">
        <v>8</v>
      </c>
      <c r="T14" s="23"/>
      <c r="U14" s="23">
        <f t="shared" si="0"/>
        <v>256</v>
      </c>
      <c r="V14" s="24">
        <f>SUM(V9:V13)</f>
        <v>72</v>
      </c>
      <c r="X14" s="19" t="s">
        <v>267</v>
      </c>
      <c r="Y14" s="20">
        <v>0.218</v>
      </c>
      <c r="Z14" s="20">
        <v>1.1080000000000001</v>
      </c>
      <c r="AA14" s="20">
        <f>(Y14*AB5)+(Z14*AB6)</f>
        <v>2.4340000000000002</v>
      </c>
      <c r="AB14" s="43">
        <f>AA14*AB$7</f>
        <v>248.37863636363639</v>
      </c>
      <c r="AE14" s="19" t="s">
        <v>267</v>
      </c>
      <c r="AF14" s="20">
        <v>798</v>
      </c>
      <c r="AG14" s="20">
        <v>1243</v>
      </c>
      <c r="AH14" s="20">
        <f>(AF14*AI5)+(AG14*AI6)</f>
        <v>3284</v>
      </c>
      <c r="AI14" s="43">
        <f>AH14*AI$7</f>
        <v>335117.27272727271</v>
      </c>
    </row>
    <row r="15" spans="2:35">
      <c r="B15" s="44" t="s">
        <v>169</v>
      </c>
      <c r="C15" s="23"/>
      <c r="D15" s="24">
        <f>COUNTIF('Cleaned raw data receivers'!H$2:H$110,"98")</f>
        <v>1</v>
      </c>
      <c r="E15" s="24"/>
      <c r="F15" s="20"/>
      <c r="G15" s="20"/>
      <c r="H15" s="42" t="s">
        <v>208</v>
      </c>
      <c r="I15" s="43">
        <f>I7/I11</f>
        <v>18.443211334120427</v>
      </c>
      <c r="J15" s="20"/>
      <c r="K15" s="44" t="s">
        <v>225</v>
      </c>
      <c r="L15" s="23"/>
      <c r="M15" s="23"/>
      <c r="N15" s="50">
        <f>I8/N13</f>
        <v>0.6841386140667457</v>
      </c>
      <c r="X15" s="19"/>
      <c r="Y15" s="20"/>
      <c r="Z15" s="20"/>
      <c r="AA15" s="20"/>
      <c r="AB15" s="21"/>
      <c r="AE15" s="19"/>
      <c r="AF15" s="20"/>
      <c r="AG15" s="20"/>
      <c r="AH15" s="20"/>
      <c r="AI15" s="21"/>
    </row>
    <row r="16" spans="2:35">
      <c r="G16" s="20"/>
      <c r="H16" s="42" t="s">
        <v>209</v>
      </c>
      <c r="I16" s="43">
        <f>I8/I12</f>
        <v>10.153920153920154</v>
      </c>
      <c r="J16" s="20"/>
      <c r="K16" s="33"/>
      <c r="N16" s="12"/>
      <c r="Q16" s="20"/>
      <c r="R16" s="20"/>
      <c r="S16" s="20"/>
      <c r="T16" s="20"/>
      <c r="U16" s="20"/>
      <c r="X16" s="48" t="s">
        <v>270</v>
      </c>
      <c r="Y16" s="20"/>
      <c r="Z16" s="20"/>
      <c r="AA16" s="20"/>
      <c r="AB16" s="21"/>
      <c r="AE16" s="48" t="s">
        <v>270</v>
      </c>
      <c r="AF16" s="20"/>
      <c r="AG16" s="20"/>
      <c r="AH16" s="20"/>
      <c r="AI16" s="21"/>
    </row>
    <row r="17" spans="2:36">
      <c r="B17" s="80" t="s">
        <v>194</v>
      </c>
      <c r="C17" s="25"/>
      <c r="D17" s="25"/>
      <c r="E17" s="58">
        <f>E19/22</f>
        <v>102.04545454545455</v>
      </c>
      <c r="F17" s="20"/>
      <c r="G17" s="34"/>
      <c r="H17" s="44" t="s">
        <v>221</v>
      </c>
      <c r="I17" s="45">
        <f>(I15+I16)/2</f>
        <v>14.298565744020291</v>
      </c>
      <c r="J17" s="20"/>
      <c r="Q17" s="123" t="s">
        <v>218</v>
      </c>
      <c r="R17" s="20"/>
      <c r="S17" s="20"/>
      <c r="T17" s="20"/>
      <c r="U17" s="20"/>
      <c r="X17" s="19" t="s">
        <v>265</v>
      </c>
      <c r="Y17" s="20">
        <v>0.29099999999999998</v>
      </c>
      <c r="Z17" s="20">
        <v>0.374</v>
      </c>
      <c r="AA17" s="20">
        <f>(Y17*AB$5)+(Z17*AB$6)</f>
        <v>1.0389999999999999</v>
      </c>
      <c r="AB17" s="43">
        <f>AA17*AB$7</f>
        <v>106.02522727272726</v>
      </c>
      <c r="AE17" s="19" t="s">
        <v>265</v>
      </c>
      <c r="AF17" s="20">
        <v>212</v>
      </c>
      <c r="AG17" s="20">
        <v>311</v>
      </c>
      <c r="AH17" s="20">
        <f>(AF17*AI$5)+(AG17*AI$6)</f>
        <v>834</v>
      </c>
      <c r="AI17" s="43">
        <f>AH17*AI$7</f>
        <v>85105.909090909088</v>
      </c>
    </row>
    <row r="18" spans="2:36">
      <c r="B18" s="40" t="s">
        <v>193</v>
      </c>
      <c r="C18" s="20"/>
      <c r="D18" s="20"/>
      <c r="E18" s="43">
        <f>E19/4</f>
        <v>561.25</v>
      </c>
      <c r="F18" s="34"/>
      <c r="G18" s="34"/>
      <c r="K18" s="65" t="s">
        <v>222</v>
      </c>
      <c r="L18" s="25"/>
      <c r="M18" s="25"/>
      <c r="N18" s="73" t="s">
        <v>238</v>
      </c>
      <c r="O18" s="73" t="s">
        <v>239</v>
      </c>
      <c r="Q18" s="110" t="s">
        <v>314</v>
      </c>
      <c r="R18" s="124" t="s">
        <v>313</v>
      </c>
      <c r="S18" s="124" t="s">
        <v>330</v>
      </c>
      <c r="T18" s="124" t="s">
        <v>318</v>
      </c>
      <c r="U18" s="26" t="s">
        <v>341</v>
      </c>
      <c r="X18" s="19" t="s">
        <v>266</v>
      </c>
      <c r="Y18" s="94">
        <v>0.217</v>
      </c>
      <c r="Z18" s="94">
        <v>0.3</v>
      </c>
      <c r="AA18" s="20">
        <f>(Y18*AB$5)+(Z18*AB$6)</f>
        <v>0.81699999999999995</v>
      </c>
      <c r="AB18" s="43">
        <f>AA18*AB$7</f>
        <v>83.371136363636353</v>
      </c>
      <c r="AE18" s="19" t="s">
        <v>266</v>
      </c>
      <c r="AF18" s="34">
        <v>200</v>
      </c>
      <c r="AG18" s="34">
        <v>305</v>
      </c>
      <c r="AH18" s="20">
        <f>(AF18*AI$5)+(AG18*AI$6)</f>
        <v>810</v>
      </c>
      <c r="AI18" s="43">
        <f>AH18*AI$7</f>
        <v>82656.818181818177</v>
      </c>
    </row>
    <row r="19" spans="2:36">
      <c r="B19" s="40" t="s">
        <v>192</v>
      </c>
      <c r="C19" s="20"/>
      <c r="D19" s="20"/>
      <c r="E19" s="89">
        <f>SUM(E6:E15)</f>
        <v>2245</v>
      </c>
      <c r="F19" s="34"/>
      <c r="H19" s="46" t="s">
        <v>222</v>
      </c>
      <c r="I19" s="26"/>
      <c r="K19" s="19" t="s">
        <v>240</v>
      </c>
      <c r="L19" s="20"/>
      <c r="M19" s="20"/>
      <c r="N19" s="43">
        <f>I20/N14</f>
        <v>7.4620917459382605</v>
      </c>
      <c r="O19" s="21"/>
      <c r="Q19" s="19" t="s">
        <v>345</v>
      </c>
      <c r="R19" s="95">
        <v>2000000</v>
      </c>
      <c r="S19" s="20" t="s">
        <v>326</v>
      </c>
      <c r="T19" s="20">
        <v>1</v>
      </c>
      <c r="U19" s="101">
        <f>R19</f>
        <v>2000000</v>
      </c>
      <c r="X19" s="22" t="s">
        <v>267</v>
      </c>
      <c r="Y19" s="23">
        <v>6.6000000000000003E-2</v>
      </c>
      <c r="Z19" s="23">
        <v>9.0999999999999998E-2</v>
      </c>
      <c r="AA19" s="23">
        <f>(Y19*AB$5)+(Z19*AB$6)</f>
        <v>0.248</v>
      </c>
      <c r="AB19" s="45">
        <f>AA19*AB$7</f>
        <v>25.307272727272728</v>
      </c>
      <c r="AE19" s="22" t="s">
        <v>267</v>
      </c>
      <c r="AF19" s="23">
        <v>191</v>
      </c>
      <c r="AG19" s="23">
        <v>295</v>
      </c>
      <c r="AH19" s="23">
        <f>(AF19*AI$5)+(AG19*AI$6)</f>
        <v>781</v>
      </c>
      <c r="AI19" s="45">
        <f>AH19*AI$7</f>
        <v>79697.5</v>
      </c>
    </row>
    <row r="20" spans="2:36">
      <c r="B20" s="22" t="s">
        <v>334</v>
      </c>
      <c r="C20" s="23"/>
      <c r="D20" s="23"/>
      <c r="E20" s="53">
        <f>E19*12</f>
        <v>26940</v>
      </c>
      <c r="G20" s="1"/>
      <c r="H20" s="19" t="s">
        <v>210</v>
      </c>
      <c r="I20" s="21">
        <v>1.7</v>
      </c>
      <c r="K20" s="19" t="s">
        <v>241</v>
      </c>
      <c r="L20" s="20"/>
      <c r="M20" s="20"/>
      <c r="N20" s="43">
        <f>I21/N15</f>
        <v>16.517120606347699</v>
      </c>
      <c r="O20" s="21"/>
      <c r="Q20" s="19" t="s">
        <v>315</v>
      </c>
      <c r="R20" s="95">
        <v>300000</v>
      </c>
      <c r="S20" s="20" t="s">
        <v>315</v>
      </c>
      <c r="T20" s="20">
        <v>1</v>
      </c>
      <c r="U20" s="101">
        <f>R20</f>
        <v>300000</v>
      </c>
    </row>
    <row r="21" spans="2:36">
      <c r="F21" s="20"/>
      <c r="G21" s="12"/>
      <c r="H21" s="40" t="s">
        <v>211</v>
      </c>
      <c r="I21" s="21">
        <v>11.3</v>
      </c>
      <c r="K21" s="40" t="s">
        <v>228</v>
      </c>
      <c r="L21" s="20"/>
      <c r="M21" s="20"/>
      <c r="N21" s="43">
        <f>AVERAGE(N19:N20)</f>
        <v>11.98960617614298</v>
      </c>
      <c r="O21" s="21"/>
      <c r="Q21" s="22" t="s">
        <v>316</v>
      </c>
      <c r="R21" s="109">
        <v>600000</v>
      </c>
      <c r="S21" s="23" t="s">
        <v>343</v>
      </c>
      <c r="T21" s="23">
        <v>2</v>
      </c>
      <c r="U21" s="101">
        <f>R21*T21</f>
        <v>1200000</v>
      </c>
      <c r="X21" s="39" t="s">
        <v>360</v>
      </c>
      <c r="Y21" s="25"/>
      <c r="Z21" s="25"/>
      <c r="AA21" s="25"/>
      <c r="AB21" s="25"/>
      <c r="AC21" s="26"/>
      <c r="AE21" s="39" t="s">
        <v>360</v>
      </c>
      <c r="AF21" s="25"/>
      <c r="AG21" s="25"/>
      <c r="AH21" s="25"/>
      <c r="AI21" s="25"/>
      <c r="AJ21" s="26"/>
    </row>
    <row r="22" spans="2:36">
      <c r="B22" s="39" t="s">
        <v>280</v>
      </c>
      <c r="C22" s="25"/>
      <c r="D22" s="25"/>
      <c r="E22" s="26"/>
      <c r="F22" s="34"/>
      <c r="H22" s="40"/>
      <c r="I22" s="21"/>
      <c r="K22" s="40"/>
      <c r="L22" s="20"/>
      <c r="M22" s="20"/>
      <c r="N22" s="49"/>
      <c r="O22" s="21"/>
      <c r="Q22" s="120" t="s">
        <v>327</v>
      </c>
      <c r="R22" s="112"/>
      <c r="S22" s="112"/>
      <c r="T22" s="112"/>
      <c r="U22" s="125">
        <f>SUM(U19:U21)</f>
        <v>3500000</v>
      </c>
      <c r="X22" s="91" t="s">
        <v>296</v>
      </c>
      <c r="Y22" s="92" t="s">
        <v>291</v>
      </c>
      <c r="Z22" s="92" t="s">
        <v>292</v>
      </c>
      <c r="AA22" s="92" t="s">
        <v>293</v>
      </c>
      <c r="AB22" s="92" t="s">
        <v>297</v>
      </c>
      <c r="AC22" s="93" t="s">
        <v>361</v>
      </c>
      <c r="AE22" s="91" t="s">
        <v>299</v>
      </c>
      <c r="AF22" s="92" t="s">
        <v>291</v>
      </c>
      <c r="AG22" s="92" t="s">
        <v>292</v>
      </c>
      <c r="AH22" s="92" t="s">
        <v>293</v>
      </c>
      <c r="AI22" s="92" t="s">
        <v>297</v>
      </c>
      <c r="AJ22" s="93" t="s">
        <v>362</v>
      </c>
    </row>
    <row r="23" spans="2:36">
      <c r="B23" s="19" t="s">
        <v>281</v>
      </c>
      <c r="C23" s="20"/>
      <c r="D23" s="20"/>
      <c r="E23" s="43">
        <f>AVERAGE('Cleaned raw data receivers'!I2:I110)</f>
        <v>21.049925925925908</v>
      </c>
      <c r="F23" s="35"/>
      <c r="H23" s="41" t="s">
        <v>212</v>
      </c>
      <c r="I23" s="47"/>
      <c r="K23" s="40" t="s">
        <v>242</v>
      </c>
      <c r="L23" s="20"/>
      <c r="M23" s="20"/>
      <c r="N23" s="43">
        <f>(N21*N11)+N7</f>
        <v>189.84409264214469</v>
      </c>
      <c r="O23" s="21"/>
      <c r="Q23" s="19"/>
      <c r="U23" s="21"/>
      <c r="X23" s="48" t="s">
        <v>264</v>
      </c>
      <c r="Y23" s="20"/>
      <c r="Z23" s="20"/>
      <c r="AA23" s="20"/>
      <c r="AB23" s="20"/>
      <c r="AC23" s="21"/>
      <c r="AE23" s="48" t="s">
        <v>264</v>
      </c>
      <c r="AF23" s="20"/>
      <c r="AG23" s="20"/>
      <c r="AH23" s="20"/>
      <c r="AI23" s="20"/>
      <c r="AJ23" s="21"/>
    </row>
    <row r="24" spans="2:36">
      <c r="B24" s="22" t="s">
        <v>282</v>
      </c>
      <c r="C24" s="23"/>
      <c r="D24" s="23"/>
      <c r="E24" s="50">
        <f>AVERAGE('Cleaned raw data receivers'!J2:J110)</f>
        <v>0.94803669724770612</v>
      </c>
      <c r="H24" s="42" t="s">
        <v>208</v>
      </c>
      <c r="I24" s="43">
        <f>I7/I20</f>
        <v>8.3536898395721941</v>
      </c>
      <c r="K24" s="40" t="s">
        <v>243</v>
      </c>
      <c r="L24" s="20"/>
      <c r="M24" s="20"/>
      <c r="N24" s="49">
        <f>N23/60</f>
        <v>3.1640682107024114</v>
      </c>
      <c r="O24" s="21"/>
      <c r="Q24" s="110" t="s">
        <v>325</v>
      </c>
      <c r="R24" s="25" t="s">
        <v>313</v>
      </c>
      <c r="S24" s="25" t="s">
        <v>330</v>
      </c>
      <c r="T24" s="111" t="s">
        <v>318</v>
      </c>
      <c r="U24" s="26" t="s">
        <v>328</v>
      </c>
      <c r="V24" s="54"/>
      <c r="X24" s="19" t="s">
        <v>265</v>
      </c>
      <c r="Y24" s="34">
        <f>AB12</f>
        <v>318.99409090909091</v>
      </c>
      <c r="Z24" s="95">
        <f>Y24*5.5</f>
        <v>1754.4675</v>
      </c>
      <c r="AA24" s="95">
        <f>Y24*22</f>
        <v>7017.87</v>
      </c>
      <c r="AB24" s="95">
        <f>Y24*365</f>
        <v>116432.84318181819</v>
      </c>
      <c r="AC24" s="101">
        <f>AB24/1000</f>
        <v>116.43284318181819</v>
      </c>
      <c r="AD24" s="140">
        <f>AC24/1000</f>
        <v>0.11643284318181818</v>
      </c>
      <c r="AE24" s="19" t="s">
        <v>265</v>
      </c>
      <c r="AF24" s="34">
        <f>AI12</f>
        <v>368996.36363636365</v>
      </c>
      <c r="AG24" s="95">
        <f>AF24*5.5</f>
        <v>2029480</v>
      </c>
      <c r="AH24" s="95">
        <f>AF24*22</f>
        <v>8117920</v>
      </c>
      <c r="AI24" s="95">
        <f>AF24*365</f>
        <v>134683672.72727272</v>
      </c>
      <c r="AJ24" s="101">
        <f>AI24/1000000</f>
        <v>134.68367272727272</v>
      </c>
    </row>
    <row r="25" spans="2:36">
      <c r="F25" s="20"/>
      <c r="H25" s="42" t="s">
        <v>209</v>
      </c>
      <c r="I25" s="43">
        <f>I8/I21</f>
        <v>3.7740234200411193</v>
      </c>
      <c r="K25" s="40" t="s">
        <v>245</v>
      </c>
      <c r="L25" s="20"/>
      <c r="M25" s="20"/>
      <c r="N25" s="21">
        <v>7.5</v>
      </c>
      <c r="O25" s="21"/>
      <c r="Q25" s="19" t="s">
        <v>326</v>
      </c>
      <c r="R25" s="20">
        <v>700</v>
      </c>
      <c r="S25" s="20" t="s">
        <v>317</v>
      </c>
      <c r="T25" s="20">
        <f>U14</f>
        <v>256</v>
      </c>
      <c r="U25" s="89">
        <f>(R25*T25)*12</f>
        <v>2150400</v>
      </c>
      <c r="X25" s="19" t="s">
        <v>266</v>
      </c>
      <c r="Y25" s="34">
        <f t="shared" ref="Y25:Y31" si="1">AB13</f>
        <v>226.43886363636364</v>
      </c>
      <c r="Z25" s="95">
        <f t="shared" ref="Z25:Z31" si="2">Y25*5.5</f>
        <v>1245.4137499999999</v>
      </c>
      <c r="AA25" s="95">
        <f t="shared" ref="AA25:AA31" si="3">Y25*22</f>
        <v>4981.6549999999997</v>
      </c>
      <c r="AB25" s="95">
        <f t="shared" ref="AB25:AB31" si="4">Y25*365</f>
        <v>82650.185227272726</v>
      </c>
      <c r="AC25" s="101">
        <f>AB25/1000</f>
        <v>82.650185227272729</v>
      </c>
      <c r="AD25" s="140">
        <f t="shared" ref="AD25:AD32" si="5">AC25/1000</f>
        <v>8.2650185227272729E-2</v>
      </c>
      <c r="AE25" s="19" t="s">
        <v>266</v>
      </c>
      <c r="AF25" s="34">
        <f t="shared" ref="AF25:AF26" si="6">AI13</f>
        <v>333280.45454545453</v>
      </c>
      <c r="AG25" s="95">
        <f t="shared" ref="AG25:AG31" si="7">AF25*5.5</f>
        <v>1833042.5</v>
      </c>
      <c r="AH25" s="95">
        <f t="shared" ref="AH25:AH31" si="8">AF25*22</f>
        <v>7332170</v>
      </c>
      <c r="AI25" s="95">
        <f t="shared" ref="AI25:AI31" si="9">AF25*365</f>
        <v>121647365.90909091</v>
      </c>
      <c r="AJ25" s="101">
        <f t="shared" ref="AJ25:AJ31" si="10">AI25/1000000</f>
        <v>121.64736590909091</v>
      </c>
    </row>
    <row r="26" spans="2:36">
      <c r="B26" s="39" t="s">
        <v>294</v>
      </c>
      <c r="C26" s="25"/>
      <c r="D26" s="25"/>
      <c r="E26" s="26"/>
      <c r="F26" s="35"/>
      <c r="G26" s="12"/>
      <c r="H26" s="44" t="s">
        <v>221</v>
      </c>
      <c r="I26" s="45">
        <f>(I24+I25)/2</f>
        <v>6.063856629806657</v>
      </c>
      <c r="K26" s="19"/>
      <c r="L26" s="20"/>
      <c r="M26" s="20"/>
      <c r="N26" s="21"/>
      <c r="O26" s="21"/>
      <c r="Q26" s="113" t="s">
        <v>331</v>
      </c>
      <c r="R26" s="16">
        <f>R19/20</f>
        <v>100000</v>
      </c>
      <c r="S26" s="33" t="s">
        <v>342</v>
      </c>
      <c r="T26">
        <v>1</v>
      </c>
      <c r="U26" s="101">
        <f>R26</f>
        <v>100000</v>
      </c>
      <c r="X26" s="19" t="s">
        <v>267</v>
      </c>
      <c r="Y26" s="34">
        <f t="shared" si="1"/>
        <v>248.37863636363639</v>
      </c>
      <c r="Z26" s="117">
        <f t="shared" si="2"/>
        <v>1366.0825000000002</v>
      </c>
      <c r="AA26" s="95">
        <f t="shared" si="3"/>
        <v>5464.3300000000008</v>
      </c>
      <c r="AB26" s="95">
        <f t="shared" si="4"/>
        <v>90658.202272727285</v>
      </c>
      <c r="AC26" s="101">
        <f>AB26/1000</f>
        <v>90.65820227272728</v>
      </c>
      <c r="AD26" s="140">
        <f t="shared" si="5"/>
        <v>9.0658202272727278E-2</v>
      </c>
      <c r="AE26" s="19" t="s">
        <v>267</v>
      </c>
      <c r="AF26" s="34">
        <f t="shared" si="6"/>
        <v>335117.27272727271</v>
      </c>
      <c r="AG26" s="117">
        <f t="shared" si="7"/>
        <v>1843145</v>
      </c>
      <c r="AH26" s="95">
        <f t="shared" si="8"/>
        <v>7372580</v>
      </c>
      <c r="AI26" s="95">
        <f t="shared" si="9"/>
        <v>122317804.54545453</v>
      </c>
      <c r="AJ26" s="101">
        <f t="shared" si="10"/>
        <v>122.31780454545454</v>
      </c>
    </row>
    <row r="27" spans="2:36">
      <c r="B27" s="19" t="s">
        <v>285</v>
      </c>
      <c r="C27" s="20"/>
      <c r="D27" s="20"/>
      <c r="E27" s="47">
        <f>E24</f>
        <v>0.94803669724770612</v>
      </c>
      <c r="F27" s="35"/>
      <c r="G27" s="35"/>
      <c r="K27" s="22" t="s">
        <v>244</v>
      </c>
      <c r="L27" s="23"/>
      <c r="M27" s="23"/>
      <c r="N27" s="62">
        <f>N25/N24</f>
        <v>2.3703660921820102</v>
      </c>
      <c r="O27" s="62">
        <f>N27*2</f>
        <v>4.7407321843640204</v>
      </c>
      <c r="Q27" s="113" t="s">
        <v>332</v>
      </c>
      <c r="R27" s="16">
        <f>R21/5</f>
        <v>120000</v>
      </c>
      <c r="S27" s="33" t="s">
        <v>343</v>
      </c>
      <c r="T27">
        <v>2</v>
      </c>
      <c r="U27" s="101">
        <f>R27*T27</f>
        <v>240000</v>
      </c>
      <c r="X27" s="19"/>
      <c r="Y27" s="34"/>
      <c r="Z27" s="20"/>
      <c r="AA27" s="20"/>
      <c r="AB27" s="95"/>
      <c r="AC27" s="101"/>
      <c r="AD27" s="140">
        <f t="shared" si="5"/>
        <v>0</v>
      </c>
      <c r="AE27" s="19"/>
      <c r="AF27" s="34"/>
      <c r="AG27" s="20"/>
      <c r="AH27" s="20"/>
      <c r="AI27" s="95"/>
      <c r="AJ27" s="101"/>
    </row>
    <row r="28" spans="2:36">
      <c r="B28" s="22" t="s">
        <v>286</v>
      </c>
      <c r="C28" s="23"/>
      <c r="D28" s="23"/>
      <c r="E28" s="50">
        <f>AVERAGE('Cleaned raw data receivers'!K2:K110)</f>
        <v>0.57188990825688057</v>
      </c>
      <c r="F28" s="35"/>
      <c r="G28" s="35"/>
      <c r="H28" s="46" t="s">
        <v>250</v>
      </c>
      <c r="I28" s="58"/>
      <c r="K28" s="57"/>
      <c r="L28" s="25"/>
      <c r="M28" s="25"/>
      <c r="N28" s="73" t="s">
        <v>238</v>
      </c>
      <c r="O28" s="73" t="s">
        <v>239</v>
      </c>
      <c r="Q28" s="102" t="s">
        <v>319</v>
      </c>
      <c r="R28" s="108">
        <v>650000</v>
      </c>
      <c r="S28" s="103" t="s">
        <v>321</v>
      </c>
      <c r="T28" s="20">
        <v>3</v>
      </c>
      <c r="U28" s="104">
        <f>R28*T28</f>
        <v>1950000</v>
      </c>
      <c r="X28" s="48" t="s">
        <v>270</v>
      </c>
      <c r="Y28" s="34"/>
      <c r="Z28" s="20"/>
      <c r="AA28" s="20"/>
      <c r="AB28" s="95"/>
      <c r="AC28" s="101"/>
      <c r="AD28" s="140">
        <f t="shared" si="5"/>
        <v>0</v>
      </c>
      <c r="AE28" s="48" t="s">
        <v>270</v>
      </c>
      <c r="AF28" s="34"/>
      <c r="AG28" s="20"/>
      <c r="AH28" s="20"/>
      <c r="AI28" s="95"/>
      <c r="AJ28" s="101"/>
    </row>
    <row r="29" spans="2:36" ht="16" thickBot="1">
      <c r="B29" s="51" t="s">
        <v>287</v>
      </c>
      <c r="C29" s="37"/>
      <c r="D29" s="37"/>
      <c r="E29" s="52">
        <f>E27-E28</f>
        <v>0.37614678899082554</v>
      </c>
      <c r="F29" s="20"/>
      <c r="H29" s="63" t="s">
        <v>210</v>
      </c>
      <c r="I29" s="20">
        <f>300/1000</f>
        <v>0.3</v>
      </c>
      <c r="J29" s="19"/>
      <c r="K29" s="40" t="s">
        <v>251</v>
      </c>
      <c r="L29" s="20"/>
      <c r="M29" s="20"/>
      <c r="N29" s="43">
        <f>N27*N21</f>
        <v>28.419755938545329</v>
      </c>
      <c r="O29" s="49">
        <f>O27*N21</f>
        <v>56.839511877090658</v>
      </c>
      <c r="Q29" s="102" t="s">
        <v>320</v>
      </c>
      <c r="R29" s="103">
        <v>2.5</v>
      </c>
      <c r="S29" s="103" t="s">
        <v>180</v>
      </c>
      <c r="T29" s="105">
        <f>S5</f>
        <v>11352</v>
      </c>
      <c r="U29" s="104">
        <f>R29*T29</f>
        <v>28380</v>
      </c>
      <c r="X29" s="19" t="s">
        <v>265</v>
      </c>
      <c r="Y29" s="34">
        <f t="shared" si="1"/>
        <v>106.02522727272726</v>
      </c>
      <c r="Z29" s="95">
        <f t="shared" si="2"/>
        <v>583.13874999999996</v>
      </c>
      <c r="AA29" s="95">
        <f t="shared" si="3"/>
        <v>2332.5549999999998</v>
      </c>
      <c r="AB29" s="95">
        <f t="shared" si="4"/>
        <v>38699.207954545454</v>
      </c>
      <c r="AC29" s="101">
        <f>AB29/1000</f>
        <v>38.699207954545457</v>
      </c>
      <c r="AD29" s="140">
        <f t="shared" si="5"/>
        <v>3.8699207954545456E-2</v>
      </c>
      <c r="AE29" s="19" t="s">
        <v>265</v>
      </c>
      <c r="AF29" s="34">
        <f t="shared" ref="AF29:AF31" si="11">AI17</f>
        <v>85105.909090909088</v>
      </c>
      <c r="AG29" s="95">
        <f t="shared" si="7"/>
        <v>468082.5</v>
      </c>
      <c r="AH29" s="95">
        <f t="shared" ref="AH29:AH32" si="12">AF29*22</f>
        <v>1872330</v>
      </c>
      <c r="AI29" s="95">
        <f t="shared" si="9"/>
        <v>31063656.818181816</v>
      </c>
      <c r="AJ29" s="101">
        <f t="shared" si="10"/>
        <v>31.063656818181816</v>
      </c>
    </row>
    <row r="30" spans="2:36" ht="16" thickTop="1">
      <c r="B30" s="19"/>
      <c r="C30" s="20"/>
      <c r="D30" s="20"/>
      <c r="E30" s="21"/>
      <c r="F30" s="34"/>
      <c r="G30" s="1"/>
      <c r="H30" s="42" t="s">
        <v>223</v>
      </c>
      <c r="I30" s="43">
        <v>2</v>
      </c>
      <c r="K30" s="40" t="s">
        <v>253</v>
      </c>
      <c r="L30" s="20"/>
      <c r="M30" s="20"/>
      <c r="N30" s="49">
        <f>N29*N14</f>
        <v>6.474536462490553</v>
      </c>
      <c r="O30" s="49">
        <f>O29*N14</f>
        <v>12.949072924981106</v>
      </c>
      <c r="Q30" s="106" t="s">
        <v>329</v>
      </c>
      <c r="R30" s="107">
        <f>4/10</f>
        <v>0.4</v>
      </c>
      <c r="S30" s="107" t="s">
        <v>344</v>
      </c>
      <c r="T30" s="23">
        <f>S6</f>
        <v>1584</v>
      </c>
      <c r="U30" s="121">
        <f>(R30*T30)*2</f>
        <v>1267.2</v>
      </c>
      <c r="X30" s="19" t="s">
        <v>266</v>
      </c>
      <c r="Y30" s="34">
        <f t="shared" si="1"/>
        <v>83.371136363636353</v>
      </c>
      <c r="Z30" s="95">
        <f t="shared" si="2"/>
        <v>458.54124999999993</v>
      </c>
      <c r="AA30" s="95">
        <f t="shared" si="3"/>
        <v>1834.1649999999997</v>
      </c>
      <c r="AB30" s="95">
        <f t="shared" si="4"/>
        <v>30430.464772727268</v>
      </c>
      <c r="AC30" s="101">
        <f>AB30/1000</f>
        <v>30.430464772727269</v>
      </c>
      <c r="AD30" s="140">
        <f t="shared" si="5"/>
        <v>3.0430464772727268E-2</v>
      </c>
      <c r="AE30" s="19" t="s">
        <v>266</v>
      </c>
      <c r="AF30" s="34">
        <f t="shared" si="11"/>
        <v>82656.818181818177</v>
      </c>
      <c r="AG30" s="95">
        <f t="shared" si="7"/>
        <v>454612.5</v>
      </c>
      <c r="AH30" s="95">
        <f t="shared" si="12"/>
        <v>1818450</v>
      </c>
      <c r="AI30" s="95">
        <f t="shared" si="9"/>
        <v>30169738.636363633</v>
      </c>
      <c r="AJ30" s="101">
        <f t="shared" si="10"/>
        <v>30.169738636363633</v>
      </c>
    </row>
    <row r="31" spans="2:36">
      <c r="B31" s="19" t="s">
        <v>283</v>
      </c>
      <c r="C31" s="20"/>
      <c r="D31" s="20"/>
      <c r="E31" s="43">
        <f>E27*109</f>
        <v>103.33599999999997</v>
      </c>
      <c r="F31" s="34"/>
      <c r="G31" s="1"/>
      <c r="H31" s="42"/>
      <c r="I31" s="43"/>
      <c r="K31" s="40" t="s">
        <v>252</v>
      </c>
      <c r="L31" s="20"/>
      <c r="M31" s="20"/>
      <c r="N31" s="49">
        <f>N29*N15</f>
        <v>19.443052439911568</v>
      </c>
      <c r="O31" s="49">
        <f>O29*N15</f>
        <v>38.886104879823137</v>
      </c>
      <c r="Q31" s="122" t="s">
        <v>340</v>
      </c>
      <c r="R31" s="23"/>
      <c r="S31" s="23"/>
      <c r="T31" s="23"/>
      <c r="U31" s="125">
        <f>SUM(U25:U30)</f>
        <v>4470047.2</v>
      </c>
      <c r="X31" s="19" t="s">
        <v>267</v>
      </c>
      <c r="Y31" s="34">
        <f t="shared" si="1"/>
        <v>25.307272727272728</v>
      </c>
      <c r="Z31" s="95">
        <f t="shared" si="2"/>
        <v>139.19</v>
      </c>
      <c r="AA31" s="95">
        <f t="shared" si="3"/>
        <v>556.76</v>
      </c>
      <c r="AB31" s="95">
        <f t="shared" si="4"/>
        <v>9237.1545454545467</v>
      </c>
      <c r="AC31" s="101">
        <f>AB31/1000</f>
        <v>9.2371545454545458</v>
      </c>
      <c r="AD31" s="140">
        <f t="shared" si="5"/>
        <v>9.2371545454545453E-3</v>
      </c>
      <c r="AE31" s="19" t="s">
        <v>267</v>
      </c>
      <c r="AF31" s="34">
        <f t="shared" si="11"/>
        <v>79697.5</v>
      </c>
      <c r="AG31" s="95">
        <f t="shared" si="7"/>
        <v>438336.25</v>
      </c>
      <c r="AH31" s="95">
        <f t="shared" si="12"/>
        <v>1753345</v>
      </c>
      <c r="AI31" s="95">
        <f t="shared" si="9"/>
        <v>29089587.5</v>
      </c>
      <c r="AJ31" s="101">
        <f t="shared" si="10"/>
        <v>29.0895875</v>
      </c>
    </row>
    <row r="32" spans="2:36">
      <c r="B32" s="22" t="s">
        <v>284</v>
      </c>
      <c r="C32" s="23"/>
      <c r="D32" s="23"/>
      <c r="E32" s="45">
        <f>E28*109</f>
        <v>62.335999999999984</v>
      </c>
      <c r="F32" s="34"/>
      <c r="G32" s="1"/>
      <c r="H32" s="41" t="s">
        <v>212</v>
      </c>
      <c r="I32" s="43"/>
      <c r="K32" s="19"/>
      <c r="L32" s="20"/>
      <c r="M32" s="20"/>
      <c r="N32" s="21"/>
      <c r="O32" s="21"/>
      <c r="X32" s="127" t="s">
        <v>353</v>
      </c>
      <c r="Y32" s="129">
        <f>AVERAGE(Y24:Y31)</f>
        <v>168.08587121212119</v>
      </c>
      <c r="Z32" s="129">
        <f t="shared" ref="Z32:AC32" si="13">AVERAGE(Z24:Z31)</f>
        <v>924.47229166666659</v>
      </c>
      <c r="AA32" s="139">
        <f t="shared" si="13"/>
        <v>3697.8891666666664</v>
      </c>
      <c r="AB32" s="139">
        <f t="shared" si="13"/>
        <v>61351.342992424245</v>
      </c>
      <c r="AC32" s="138">
        <f t="shared" si="13"/>
        <v>61.351342992424236</v>
      </c>
      <c r="AD32" s="141">
        <f t="shared" si="5"/>
        <v>6.1351342992424236E-2</v>
      </c>
      <c r="AE32" s="127" t="s">
        <v>353</v>
      </c>
      <c r="AF32" s="129">
        <f>AVERAGE(AF24:AF31)</f>
        <v>214142.38636363635</v>
      </c>
      <c r="AG32" s="129">
        <f t="shared" ref="AG32" si="14">AVERAGE(AG24:AG31)</f>
        <v>1177783.125</v>
      </c>
      <c r="AH32" s="139">
        <f t="shared" ref="AH32" si="15">AVERAGE(AH24:AH31)</f>
        <v>4711132.5</v>
      </c>
      <c r="AI32" s="139">
        <f t="shared" ref="AI32" si="16">AVERAGE(AI24:AI31)</f>
        <v>78161971.022727266</v>
      </c>
      <c r="AJ32" s="138">
        <f t="shared" ref="AJ32" si="17">AVERAGE(AJ24:AJ31)</f>
        <v>78.161971022727258</v>
      </c>
    </row>
    <row r="33" spans="2:37">
      <c r="B33" s="19"/>
      <c r="C33" s="20"/>
      <c r="D33" s="20"/>
      <c r="E33" s="43"/>
      <c r="F33" s="34"/>
      <c r="G33" s="1"/>
      <c r="H33" s="42" t="s">
        <v>208</v>
      </c>
      <c r="I33" s="43">
        <f>I7/I29</f>
        <v>47.33757575757577</v>
      </c>
      <c r="K33" s="19" t="s">
        <v>254</v>
      </c>
      <c r="L33" s="20"/>
      <c r="M33" s="20"/>
      <c r="N33" s="43">
        <f>I7</f>
        <v>14.20127272727273</v>
      </c>
      <c r="O33" s="43">
        <f>I7</f>
        <v>14.20127272727273</v>
      </c>
    </row>
    <row r="34" spans="2:37">
      <c r="B34" s="19" t="s">
        <v>197</v>
      </c>
      <c r="C34" s="20"/>
      <c r="D34" s="20"/>
      <c r="E34" s="43">
        <f>E31-E32</f>
        <v>40.999999999999986</v>
      </c>
      <c r="F34" s="34"/>
      <c r="G34" s="1"/>
      <c r="H34" s="42" t="s">
        <v>209</v>
      </c>
      <c r="I34" s="43">
        <f>I8/I30</f>
        <v>21.323232323232325</v>
      </c>
      <c r="K34" s="19" t="s">
        <v>255</v>
      </c>
      <c r="L34" s="20"/>
      <c r="M34" s="20"/>
      <c r="N34" s="43">
        <f>I8</f>
        <v>42.646464646464651</v>
      </c>
      <c r="O34" s="43">
        <f>I8</f>
        <v>42.646464646464651</v>
      </c>
      <c r="P34" s="1"/>
      <c r="X34" s="39" t="s">
        <v>300</v>
      </c>
      <c r="Y34" s="25"/>
      <c r="Z34" s="25"/>
      <c r="AA34" s="26"/>
      <c r="AE34" s="39" t="s">
        <v>300</v>
      </c>
      <c r="AF34" s="25"/>
      <c r="AG34" s="25"/>
      <c r="AH34" s="26"/>
    </row>
    <row r="35" spans="2:37">
      <c r="B35" s="19" t="s">
        <v>198</v>
      </c>
      <c r="C35" s="20"/>
      <c r="D35" s="20"/>
      <c r="E35" s="43">
        <f>E34*5.5</f>
        <v>225.49999999999991</v>
      </c>
      <c r="F35" s="20"/>
      <c r="H35" s="44" t="s">
        <v>221</v>
      </c>
      <c r="I35" s="45">
        <f>AVERAGE(I33:I34)</f>
        <v>34.330404040404048</v>
      </c>
      <c r="K35" s="19" t="s">
        <v>257</v>
      </c>
      <c r="L35" s="20"/>
      <c r="M35" s="20"/>
      <c r="N35" s="49">
        <f>N30-I7</f>
        <v>-7.7267362647821773</v>
      </c>
      <c r="O35" s="49">
        <f>O30-I7</f>
        <v>-1.2521998022916243</v>
      </c>
      <c r="X35" s="91" t="s">
        <v>296</v>
      </c>
      <c r="Y35" s="92" t="s">
        <v>268</v>
      </c>
      <c r="Z35" s="92" t="s">
        <v>274</v>
      </c>
      <c r="AA35" s="93" t="s">
        <v>288</v>
      </c>
      <c r="AE35" s="91" t="s">
        <v>299</v>
      </c>
      <c r="AF35" s="92" t="s">
        <v>268</v>
      </c>
      <c r="AG35" s="92" t="s">
        <v>274</v>
      </c>
      <c r="AH35" s="93" t="s">
        <v>288</v>
      </c>
    </row>
    <row r="36" spans="2:37">
      <c r="B36" s="19" t="s">
        <v>199</v>
      </c>
      <c r="C36" s="20"/>
      <c r="D36" s="20"/>
      <c r="E36" s="21">
        <f>E34*22</f>
        <v>901.99999999999966</v>
      </c>
      <c r="F36" s="95"/>
      <c r="K36" s="22" t="s">
        <v>256</v>
      </c>
      <c r="L36" s="23"/>
      <c r="M36" s="23"/>
      <c r="N36" s="62">
        <f>N31-I8</f>
        <v>-23.203412206553082</v>
      </c>
      <c r="O36" s="49">
        <f>O31-I8</f>
        <v>-3.7603597666415141</v>
      </c>
      <c r="X36" s="48" t="s">
        <v>264</v>
      </c>
      <c r="Y36" s="20"/>
      <c r="Z36" s="20"/>
      <c r="AA36" s="21"/>
      <c r="AE36" s="48" t="s">
        <v>264</v>
      </c>
      <c r="AF36" s="20"/>
      <c r="AG36" s="20"/>
      <c r="AH36" s="21"/>
    </row>
    <row r="37" spans="2:37">
      <c r="B37" s="22" t="s">
        <v>200</v>
      </c>
      <c r="C37" s="23"/>
      <c r="D37" s="23"/>
      <c r="E37" s="53">
        <f>E36*12</f>
        <v>10823.999999999996</v>
      </c>
      <c r="I37" s="12"/>
      <c r="K37" s="57"/>
      <c r="L37" s="25"/>
      <c r="M37" s="25"/>
      <c r="N37" s="67"/>
      <c r="O37" s="25"/>
      <c r="X37" s="19" t="s">
        <v>265</v>
      </c>
      <c r="Y37" s="20">
        <v>0.72199999999999998</v>
      </c>
      <c r="Z37" s="20">
        <f>Y37</f>
        <v>0.72199999999999998</v>
      </c>
      <c r="AA37" s="43">
        <f>Z37*AB$7</f>
        <v>73.676818181818177</v>
      </c>
      <c r="AB37" s="133"/>
      <c r="AE37" s="19" t="s">
        <v>265</v>
      </c>
      <c r="AF37" s="20">
        <v>880</v>
      </c>
      <c r="AG37" s="20">
        <f>AF37</f>
        <v>880</v>
      </c>
      <c r="AH37" s="43">
        <f>AG37*AI$7</f>
        <v>89800</v>
      </c>
      <c r="AI37" s="11"/>
    </row>
    <row r="38" spans="2:37">
      <c r="K38" s="80" t="s">
        <v>246</v>
      </c>
      <c r="L38" s="25"/>
      <c r="M38" s="25"/>
      <c r="N38" s="85">
        <f>N13-O29</f>
        <v>5.4964881229093265</v>
      </c>
      <c r="R38" s="18"/>
      <c r="X38" s="19" t="s">
        <v>266</v>
      </c>
      <c r="Y38" s="20">
        <v>0.48099999999999998</v>
      </c>
      <c r="Z38" s="20">
        <f>Y38</f>
        <v>0.48099999999999998</v>
      </c>
      <c r="AA38" s="43">
        <f>Z38*AB$7</f>
        <v>49.083863636363638</v>
      </c>
      <c r="AB38" s="11"/>
      <c r="AE38" s="19" t="s">
        <v>266</v>
      </c>
      <c r="AF38" s="20">
        <v>796</v>
      </c>
      <c r="AG38" s="20">
        <f>AF38</f>
        <v>796</v>
      </c>
      <c r="AH38" s="43">
        <f>AG38*AI$7</f>
        <v>81228.181818181823</v>
      </c>
      <c r="AI38" s="11"/>
    </row>
    <row r="39" spans="2:37">
      <c r="B39" s="57" t="s">
        <v>335</v>
      </c>
      <c r="C39" s="25"/>
      <c r="D39" s="25"/>
      <c r="E39" s="118">
        <f>(E34*N9)/60</f>
        <v>8.8833333333333293</v>
      </c>
      <c r="F39" s="26" t="s">
        <v>339</v>
      </c>
      <c r="K39" s="40" t="s">
        <v>247</v>
      </c>
      <c r="L39" s="20"/>
      <c r="M39" s="20"/>
      <c r="N39" s="78">
        <f>(N38*N11)+10</f>
        <v>92.447321843639898</v>
      </c>
      <c r="X39" s="19" t="s">
        <v>267</v>
      </c>
      <c r="Y39" s="20">
        <v>0.218</v>
      </c>
      <c r="Z39" s="20">
        <f>Y39</f>
        <v>0.218</v>
      </c>
      <c r="AA39" s="43">
        <f>Z39*AB$7</f>
        <v>22.245909090909091</v>
      </c>
      <c r="AB39" s="11"/>
      <c r="AE39" s="19" t="s">
        <v>267</v>
      </c>
      <c r="AF39" s="20">
        <v>798</v>
      </c>
      <c r="AG39" s="20">
        <f>AF39</f>
        <v>798</v>
      </c>
      <c r="AH39" s="43">
        <f>AG39*AI$7</f>
        <v>81432.272727272735</v>
      </c>
      <c r="AI39" s="11"/>
    </row>
    <row r="40" spans="2:37">
      <c r="B40" s="19" t="s">
        <v>336</v>
      </c>
      <c r="C40" s="20"/>
      <c r="D40" s="20"/>
      <c r="E40" s="34">
        <f>(E35*N9)/60</f>
        <v>48.85833333333332</v>
      </c>
      <c r="F40" s="21" t="s">
        <v>339</v>
      </c>
      <c r="H40" s="1"/>
      <c r="K40" s="40" t="s">
        <v>248</v>
      </c>
      <c r="L40" s="20"/>
      <c r="M40" s="20"/>
      <c r="N40" s="78">
        <f>N39/60</f>
        <v>1.5407886973939984</v>
      </c>
      <c r="X40" s="19"/>
      <c r="Y40" s="20"/>
      <c r="Z40" s="20"/>
      <c r="AA40" s="21"/>
      <c r="AE40" s="19"/>
      <c r="AF40" s="20"/>
      <c r="AG40" s="20"/>
      <c r="AH40" s="21"/>
    </row>
    <row r="41" spans="2:37">
      <c r="B41" s="19" t="s">
        <v>337</v>
      </c>
      <c r="C41" s="20"/>
      <c r="D41" s="20"/>
      <c r="E41" s="34">
        <f>(E36*N9)/60</f>
        <v>195.43333333333328</v>
      </c>
      <c r="F41" s="21" t="s">
        <v>339</v>
      </c>
      <c r="H41" s="1"/>
      <c r="I41" s="1"/>
      <c r="K41" s="44" t="s">
        <v>249</v>
      </c>
      <c r="L41" s="23"/>
      <c r="M41" s="23"/>
      <c r="N41" s="84">
        <f>N25-N40</f>
        <v>5.9592113026060014</v>
      </c>
      <c r="X41" s="48" t="s">
        <v>270</v>
      </c>
      <c r="Y41" s="20"/>
      <c r="Z41" s="20"/>
      <c r="AA41" s="21"/>
      <c r="AE41" s="48" t="s">
        <v>270</v>
      </c>
      <c r="AF41" s="20"/>
      <c r="AG41" s="20"/>
      <c r="AH41" s="21"/>
    </row>
    <row r="42" spans="2:37">
      <c r="B42" s="22" t="s">
        <v>338</v>
      </c>
      <c r="C42" s="23"/>
      <c r="D42" s="23"/>
      <c r="E42" s="119">
        <f>(E37*N9)/60</f>
        <v>2345.1999999999989</v>
      </c>
      <c r="F42" s="24" t="s">
        <v>339</v>
      </c>
      <c r="H42" s="1"/>
      <c r="I42" s="1"/>
      <c r="X42" s="19" t="s">
        <v>265</v>
      </c>
      <c r="Y42" s="20">
        <v>0.29099999999999998</v>
      </c>
      <c r="Z42" s="20">
        <f>Y42</f>
        <v>0.29099999999999998</v>
      </c>
      <c r="AA42" s="43">
        <f>Z42*AB$7</f>
        <v>29.695227272727273</v>
      </c>
      <c r="AB42" s="11"/>
      <c r="AE42" s="19" t="s">
        <v>265</v>
      </c>
      <c r="AF42" s="20">
        <v>212</v>
      </c>
      <c r="AG42" s="20">
        <f>AF42</f>
        <v>212</v>
      </c>
      <c r="AH42" s="43">
        <f>AG42*AI$7</f>
        <v>21633.636363636364</v>
      </c>
      <c r="AI42" s="11"/>
    </row>
    <row r="43" spans="2:37">
      <c r="H43" s="1"/>
      <c r="I43" s="1"/>
      <c r="X43" s="19" t="s">
        <v>266</v>
      </c>
      <c r="Y43" s="94">
        <v>0.217</v>
      </c>
      <c r="Z43" s="94">
        <f>Y43</f>
        <v>0.217</v>
      </c>
      <c r="AA43" s="43">
        <f>Z43*AB$7</f>
        <v>22.143863636363637</v>
      </c>
      <c r="AB43" s="11"/>
      <c r="AE43" s="19" t="s">
        <v>266</v>
      </c>
      <c r="AF43" s="34">
        <v>200</v>
      </c>
      <c r="AG43" s="34">
        <f>AF43</f>
        <v>200</v>
      </c>
      <c r="AH43" s="43">
        <f>AG43*AI$7</f>
        <v>20409.090909090908</v>
      </c>
      <c r="AI43" s="11"/>
    </row>
    <row r="44" spans="2:37">
      <c r="B44" s="39" t="s">
        <v>333</v>
      </c>
      <c r="C44" s="26"/>
      <c r="H44" s="1"/>
      <c r="K44" s="65" t="s">
        <v>250</v>
      </c>
      <c r="L44" s="25"/>
      <c r="M44" s="25"/>
      <c r="N44" s="26"/>
      <c r="O44" s="79"/>
      <c r="X44" s="22" t="s">
        <v>267</v>
      </c>
      <c r="Y44" s="23">
        <v>6.6000000000000003E-2</v>
      </c>
      <c r="Z44" s="23">
        <f>Y44</f>
        <v>6.6000000000000003E-2</v>
      </c>
      <c r="AA44" s="45">
        <f>Z44*AB$7</f>
        <v>6.7350000000000003</v>
      </c>
      <c r="AB44" s="11"/>
      <c r="AE44" s="22" t="s">
        <v>267</v>
      </c>
      <c r="AF44" s="23">
        <v>191</v>
      </c>
      <c r="AG44" s="23">
        <f>AF44</f>
        <v>191</v>
      </c>
      <c r="AH44" s="45">
        <f>AG44*AI$7</f>
        <v>19490.68181818182</v>
      </c>
      <c r="AI44" s="11"/>
    </row>
    <row r="45" spans="2:37">
      <c r="B45" s="19" t="s">
        <v>291</v>
      </c>
      <c r="C45" s="43">
        <f>E17</f>
        <v>102.04545454545455</v>
      </c>
      <c r="K45" s="19" t="s">
        <v>258</v>
      </c>
      <c r="L45" s="20"/>
      <c r="M45" s="20"/>
      <c r="N45" s="49">
        <f>-O35</f>
        <v>1.2521998022916243</v>
      </c>
      <c r="O45" s="20"/>
    </row>
    <row r="46" spans="2:37">
      <c r="B46" s="19" t="s">
        <v>292</v>
      </c>
      <c r="C46" s="43">
        <f>C45*5.5</f>
        <v>561.25</v>
      </c>
      <c r="K46" s="19" t="s">
        <v>259</v>
      </c>
      <c r="L46" s="20"/>
      <c r="M46" s="20"/>
      <c r="N46" s="49">
        <f>-O36</f>
        <v>3.7603597666415141</v>
      </c>
      <c r="O46" s="20"/>
      <c r="X46" s="39" t="s">
        <v>302</v>
      </c>
      <c r="Y46" s="25"/>
      <c r="Z46" s="25"/>
      <c r="AA46" s="25"/>
      <c r="AB46" s="25"/>
      <c r="AC46" s="26"/>
      <c r="AE46" s="39" t="s">
        <v>302</v>
      </c>
      <c r="AF46" s="25"/>
      <c r="AG46" s="25"/>
      <c r="AH46" s="25"/>
      <c r="AI46" s="25"/>
      <c r="AJ46" s="25"/>
      <c r="AK46" s="26"/>
    </row>
    <row r="47" spans="2:37">
      <c r="B47" s="19" t="s">
        <v>293</v>
      </c>
      <c r="C47" s="21">
        <f>C45*22</f>
        <v>2245</v>
      </c>
      <c r="H47" s="12"/>
      <c r="I47" s="12"/>
      <c r="K47" s="19"/>
      <c r="L47" s="20"/>
      <c r="M47" s="20"/>
      <c r="N47" s="21"/>
      <c r="O47" s="20"/>
      <c r="X47" s="144" t="s">
        <v>296</v>
      </c>
      <c r="Y47" s="83" t="s">
        <v>274</v>
      </c>
      <c r="Z47" s="83" t="s">
        <v>288</v>
      </c>
      <c r="AA47" s="83" t="s">
        <v>349</v>
      </c>
      <c r="AB47" s="83" t="s">
        <v>350</v>
      </c>
      <c r="AC47" s="97" t="s">
        <v>351</v>
      </c>
      <c r="AD47" s="83"/>
      <c r="AE47" s="144" t="s">
        <v>299</v>
      </c>
      <c r="AF47" s="83" t="s">
        <v>274</v>
      </c>
      <c r="AG47" s="83" t="s">
        <v>288</v>
      </c>
      <c r="AH47" s="83" t="s">
        <v>349</v>
      </c>
      <c r="AI47" s="83" t="s">
        <v>350</v>
      </c>
      <c r="AJ47" s="83" t="s">
        <v>351</v>
      </c>
      <c r="AK47" s="21"/>
    </row>
    <row r="48" spans="2:37">
      <c r="B48" s="22" t="s">
        <v>297</v>
      </c>
      <c r="C48" s="24">
        <f>C47*12</f>
        <v>26940</v>
      </c>
      <c r="K48" s="19" t="s">
        <v>240</v>
      </c>
      <c r="L48" s="20"/>
      <c r="M48" s="20"/>
      <c r="N48" s="49">
        <f>I29/N14</f>
        <v>1.3168397198714576</v>
      </c>
      <c r="O48" s="20"/>
      <c r="X48" s="48" t="s">
        <v>264</v>
      </c>
      <c r="Y48" s="20"/>
      <c r="Z48" s="20"/>
      <c r="AA48" s="20"/>
      <c r="AB48" s="20"/>
      <c r="AC48" s="21"/>
      <c r="AE48" s="48" t="s">
        <v>264</v>
      </c>
      <c r="AF48" s="20"/>
      <c r="AG48" s="20"/>
      <c r="AH48" s="20"/>
      <c r="AI48" s="20"/>
      <c r="AJ48" s="20"/>
      <c r="AK48" s="21"/>
    </row>
    <row r="49" spans="8:37">
      <c r="H49" s="1"/>
      <c r="I49" s="18"/>
      <c r="K49" s="19" t="s">
        <v>241</v>
      </c>
      <c r="L49" s="20"/>
      <c r="M49" s="20"/>
      <c r="N49" s="49">
        <f>I30/N15</f>
        <v>2.9233841781146368</v>
      </c>
      <c r="O49" s="20"/>
      <c r="X49" s="19" t="s">
        <v>265</v>
      </c>
      <c r="Y49" s="20">
        <f>Z12-Z37</f>
        <v>0.48</v>
      </c>
      <c r="Z49" s="34">
        <f>AB12-AA37</f>
        <v>245.31727272727272</v>
      </c>
      <c r="AA49" s="95">
        <f>Z49*5.5</f>
        <v>1349.2449999999999</v>
      </c>
      <c r="AB49" s="95">
        <f>Z49*22</f>
        <v>5396.98</v>
      </c>
      <c r="AC49" s="89">
        <f>Z49*365</f>
        <v>89540.80454545455</v>
      </c>
      <c r="AD49" s="15"/>
      <c r="AE49" s="19" t="s">
        <v>265</v>
      </c>
      <c r="AF49" s="20">
        <f>AG12-AG37</f>
        <v>488</v>
      </c>
      <c r="AG49" s="95">
        <f>AI12-AH37</f>
        <v>279196.36363636365</v>
      </c>
      <c r="AH49" s="95">
        <f>AG49*5.5</f>
        <v>1535580</v>
      </c>
      <c r="AI49" s="95">
        <f>AG49*22</f>
        <v>6142320</v>
      </c>
      <c r="AJ49" s="95">
        <f>AG49*365</f>
        <v>101906672.72727273</v>
      </c>
      <c r="AK49" s="21"/>
    </row>
    <row r="50" spans="8:37">
      <c r="H50" s="12"/>
      <c r="I50" s="12"/>
      <c r="K50" s="40" t="s">
        <v>228</v>
      </c>
      <c r="L50" s="20"/>
      <c r="M50" s="20"/>
      <c r="N50" s="49">
        <f>AVERAGE(N48:N49)</f>
        <v>2.1201119489930473</v>
      </c>
      <c r="O50" s="20"/>
      <c r="X50" s="19" t="s">
        <v>266</v>
      </c>
      <c r="Y50" s="20">
        <f>Z13-Z38</f>
        <v>0.38800000000000001</v>
      </c>
      <c r="Z50" s="34">
        <f>AB13-AA38</f>
        <v>177.35499999999999</v>
      </c>
      <c r="AA50" s="95">
        <f t="shared" ref="AA50:AA56" si="18">Z50*5.5</f>
        <v>975.45249999999999</v>
      </c>
      <c r="AB50" s="95">
        <f t="shared" ref="AB50:AB57" si="19">Z50*22</f>
        <v>3901.81</v>
      </c>
      <c r="AC50" s="89">
        <f>Z50*365</f>
        <v>64734.574999999997</v>
      </c>
      <c r="AD50" s="15"/>
      <c r="AE50" s="19" t="s">
        <v>266</v>
      </c>
      <c r="AF50" s="20">
        <f>AG13-AG38</f>
        <v>439</v>
      </c>
      <c r="AG50" s="95">
        <f>AI13-AH38</f>
        <v>252052.27272727271</v>
      </c>
      <c r="AH50" s="95">
        <f t="shared" ref="AH50:AH57" si="20">AG50*5.5</f>
        <v>1386287.5</v>
      </c>
      <c r="AI50" s="95">
        <f t="shared" ref="AI50:AI57" si="21">AG50*22</f>
        <v>5545150</v>
      </c>
      <c r="AJ50" s="95">
        <f t="shared" ref="AJ50:AJ57" si="22">AG50*365</f>
        <v>91999079.545454532</v>
      </c>
      <c r="AK50" s="21"/>
    </row>
    <row r="51" spans="8:37">
      <c r="H51" s="12"/>
      <c r="I51" s="12"/>
      <c r="K51" s="19"/>
      <c r="L51" s="20"/>
      <c r="M51" s="20"/>
      <c r="N51" s="21"/>
      <c r="O51" s="20"/>
      <c r="X51" s="19" t="s">
        <v>267</v>
      </c>
      <c r="Y51" s="20">
        <f>Z14-Z39</f>
        <v>0.89000000000000012</v>
      </c>
      <c r="Z51" s="34">
        <f>AB14-AA39</f>
        <v>226.13272727272729</v>
      </c>
      <c r="AA51" s="95">
        <f t="shared" si="18"/>
        <v>1243.73</v>
      </c>
      <c r="AB51" s="95">
        <f t="shared" si="19"/>
        <v>4974.92</v>
      </c>
      <c r="AC51" s="89">
        <f>Z51*365</f>
        <v>82538.445454545465</v>
      </c>
      <c r="AD51" s="15"/>
      <c r="AE51" s="19" t="s">
        <v>267</v>
      </c>
      <c r="AF51" s="20">
        <f>AG14-AG39</f>
        <v>445</v>
      </c>
      <c r="AG51" s="95">
        <f>AI14-AH39</f>
        <v>253684.99999999997</v>
      </c>
      <c r="AH51" s="95">
        <f t="shared" si="20"/>
        <v>1395267.4999999998</v>
      </c>
      <c r="AI51" s="95">
        <f t="shared" si="21"/>
        <v>5581069.9999999991</v>
      </c>
      <c r="AJ51" s="95">
        <f t="shared" si="22"/>
        <v>92595024.999999985</v>
      </c>
      <c r="AK51" s="21"/>
    </row>
    <row r="52" spans="8:37">
      <c r="K52" s="40" t="s">
        <v>242</v>
      </c>
      <c r="L52" s="20"/>
      <c r="M52" s="20"/>
      <c r="N52" s="43">
        <f>(N50*N11)+N7</f>
        <v>41.801679234895708</v>
      </c>
      <c r="O52" s="20"/>
      <c r="X52" s="19"/>
      <c r="Y52" s="20"/>
      <c r="Z52" s="34"/>
      <c r="AA52" s="20"/>
      <c r="AB52" s="20"/>
      <c r="AC52" s="21"/>
      <c r="AE52" s="19"/>
      <c r="AF52" s="20"/>
      <c r="AG52" s="34"/>
      <c r="AH52" s="20"/>
      <c r="AI52" s="20"/>
      <c r="AJ52" s="20"/>
      <c r="AK52" s="21"/>
    </row>
    <row r="53" spans="8:37">
      <c r="K53" s="40" t="s">
        <v>243</v>
      </c>
      <c r="L53" s="20"/>
      <c r="M53" s="20"/>
      <c r="N53" s="49">
        <f>N52/60</f>
        <v>0.69669465391492846</v>
      </c>
      <c r="O53" s="20"/>
      <c r="X53" s="48" t="s">
        <v>270</v>
      </c>
      <c r="Y53" s="20"/>
      <c r="Z53" s="34"/>
      <c r="AA53" s="20"/>
      <c r="AB53" s="20"/>
      <c r="AC53" s="21"/>
      <c r="AE53" s="48" t="s">
        <v>270</v>
      </c>
      <c r="AF53" s="20"/>
      <c r="AG53" s="34"/>
      <c r="AH53" s="20"/>
      <c r="AI53" s="20"/>
      <c r="AJ53" s="116"/>
      <c r="AK53" s="21"/>
    </row>
    <row r="54" spans="8:37">
      <c r="K54" s="19"/>
      <c r="L54" s="20"/>
      <c r="M54" s="20"/>
      <c r="N54" s="47"/>
      <c r="O54" s="20"/>
      <c r="X54" s="19" t="s">
        <v>265</v>
      </c>
      <c r="Y54" s="20">
        <f>Z17-Z42</f>
        <v>8.3000000000000018E-2</v>
      </c>
      <c r="Z54" s="34">
        <f>AB17-AA42</f>
        <v>76.329999999999984</v>
      </c>
      <c r="AA54" s="95">
        <f t="shared" si="18"/>
        <v>419.81499999999994</v>
      </c>
      <c r="AB54" s="95">
        <f t="shared" si="19"/>
        <v>1679.2599999999998</v>
      </c>
      <c r="AC54" s="89">
        <f>Z54*365</f>
        <v>27860.449999999993</v>
      </c>
      <c r="AD54" s="15"/>
      <c r="AE54" s="19" t="s">
        <v>265</v>
      </c>
      <c r="AF54" s="20">
        <f>AG17-AG42</f>
        <v>99</v>
      </c>
      <c r="AG54" s="95">
        <f>AI17-AH42</f>
        <v>63472.272727272721</v>
      </c>
      <c r="AH54" s="95">
        <f t="shared" si="20"/>
        <v>349097.49999999994</v>
      </c>
      <c r="AI54" s="95">
        <f t="shared" si="21"/>
        <v>1396389.9999999998</v>
      </c>
      <c r="AJ54" s="95">
        <f t="shared" si="22"/>
        <v>23167379.545454543</v>
      </c>
      <c r="AK54" s="21"/>
    </row>
    <row r="55" spans="8:37">
      <c r="K55" s="40" t="s">
        <v>260</v>
      </c>
      <c r="L55" s="20"/>
      <c r="M55" s="20"/>
      <c r="N55" s="49">
        <f>N50*N14</f>
        <v>0.48300000000000004</v>
      </c>
      <c r="O55" s="20"/>
      <c r="X55" s="19" t="s">
        <v>266</v>
      </c>
      <c r="Y55" s="94">
        <f>Z18-Z43</f>
        <v>8.299999999999999E-2</v>
      </c>
      <c r="Z55" s="34">
        <f>AB18-AA43</f>
        <v>61.22727272727272</v>
      </c>
      <c r="AA55" s="95">
        <f t="shared" si="18"/>
        <v>336.74999999999994</v>
      </c>
      <c r="AB55" s="95">
        <f t="shared" si="19"/>
        <v>1346.9999999999998</v>
      </c>
      <c r="AC55" s="89">
        <f>Z55*365</f>
        <v>22347.954545454544</v>
      </c>
      <c r="AD55" s="15"/>
      <c r="AE55" s="19" t="s">
        <v>266</v>
      </c>
      <c r="AF55" s="20">
        <f>AG18-AG43</f>
        <v>105</v>
      </c>
      <c r="AG55" s="95">
        <f>AI18-AH43</f>
        <v>62247.727272727265</v>
      </c>
      <c r="AH55" s="95">
        <f t="shared" si="20"/>
        <v>342362.49999999994</v>
      </c>
      <c r="AI55" s="95">
        <f t="shared" si="21"/>
        <v>1369449.9999999998</v>
      </c>
      <c r="AJ55" s="95">
        <f t="shared" si="22"/>
        <v>22720420.454545453</v>
      </c>
      <c r="AK55" s="21"/>
    </row>
    <row r="56" spans="8:37">
      <c r="K56" s="40" t="s">
        <v>261</v>
      </c>
      <c r="L56" s="20"/>
      <c r="M56" s="20"/>
      <c r="N56" s="49">
        <f>N50*N15</f>
        <v>1.4504504504504505</v>
      </c>
      <c r="O56" s="20"/>
      <c r="X56" s="19" t="s">
        <v>267</v>
      </c>
      <c r="Y56" s="20">
        <f>Z19-Z44</f>
        <v>2.4999999999999994E-2</v>
      </c>
      <c r="Z56" s="34">
        <f>AB19-AA44</f>
        <v>18.572272727272729</v>
      </c>
      <c r="AA56" s="95">
        <f t="shared" si="18"/>
        <v>102.14750000000001</v>
      </c>
      <c r="AB56" s="95">
        <f t="shared" si="19"/>
        <v>408.59000000000003</v>
      </c>
      <c r="AC56" s="89">
        <f>Z56*365</f>
        <v>6778.8795454545461</v>
      </c>
      <c r="AD56" s="15"/>
      <c r="AE56" s="19" t="s">
        <v>267</v>
      </c>
      <c r="AF56" s="20">
        <f>AG19-AG44</f>
        <v>104</v>
      </c>
      <c r="AG56" s="95">
        <f>AI19-AH44</f>
        <v>60206.818181818177</v>
      </c>
      <c r="AH56" s="95">
        <f t="shared" si="20"/>
        <v>331137.5</v>
      </c>
      <c r="AI56" s="95">
        <f t="shared" si="21"/>
        <v>1324550</v>
      </c>
      <c r="AJ56" s="95">
        <f t="shared" si="22"/>
        <v>21975488.636363633</v>
      </c>
      <c r="AK56" s="21"/>
    </row>
    <row r="57" spans="8:37">
      <c r="K57" s="19"/>
      <c r="L57" s="20"/>
      <c r="M57" s="20"/>
      <c r="N57" s="21"/>
      <c r="O57" s="20"/>
      <c r="X57" s="44" t="s">
        <v>289</v>
      </c>
      <c r="Y57" s="23">
        <f>SUM(Y49:Y56)</f>
        <v>1.9489999999999998</v>
      </c>
      <c r="Z57" s="132">
        <f>SUM(Z49:Z56)</f>
        <v>804.93454545454551</v>
      </c>
      <c r="AA57" s="109">
        <f>Z57*5.5</f>
        <v>4427.1400000000003</v>
      </c>
      <c r="AB57" s="109">
        <f t="shared" si="19"/>
        <v>17708.560000000001</v>
      </c>
      <c r="AC57" s="53">
        <f>Z57*365</f>
        <v>293801.10909090913</v>
      </c>
      <c r="AD57" s="15"/>
      <c r="AE57" s="44" t="s">
        <v>289</v>
      </c>
      <c r="AF57" s="23">
        <f>SUM(AF49:AF56)</f>
        <v>1680</v>
      </c>
      <c r="AG57" s="109">
        <f>SUM(AG49:AG56)</f>
        <v>970860.45454545459</v>
      </c>
      <c r="AH57" s="109">
        <f t="shared" si="20"/>
        <v>5339732.5</v>
      </c>
      <c r="AI57" s="109">
        <f t="shared" si="21"/>
        <v>21358930</v>
      </c>
      <c r="AJ57" s="109">
        <f t="shared" si="22"/>
        <v>354364065.90909094</v>
      </c>
      <c r="AK57" s="24"/>
    </row>
    <row r="58" spans="8:37">
      <c r="K58" s="40" t="s">
        <v>262</v>
      </c>
      <c r="L58" s="20"/>
      <c r="M58" s="20"/>
      <c r="N58" s="49">
        <f>N45/N55</f>
        <v>2.5925461745168201</v>
      </c>
      <c r="O58" s="20"/>
    </row>
    <row r="59" spans="8:37">
      <c r="K59" s="40" t="s">
        <v>263</v>
      </c>
      <c r="L59" s="20"/>
      <c r="M59" s="20"/>
      <c r="N59" s="49">
        <f>N58*N53</f>
        <v>1.8062130598134678</v>
      </c>
      <c r="O59" s="20"/>
      <c r="X59" s="120" t="s">
        <v>363</v>
      </c>
      <c r="Y59" s="130" t="s">
        <v>356</v>
      </c>
      <c r="Z59" s="130" t="s">
        <v>357</v>
      </c>
      <c r="AA59" s="130" t="s">
        <v>358</v>
      </c>
      <c r="AB59" s="131" t="s">
        <v>359</v>
      </c>
      <c r="AE59" s="120" t="s">
        <v>364</v>
      </c>
      <c r="AF59" s="130" t="s">
        <v>290</v>
      </c>
      <c r="AG59" s="130" t="s">
        <v>352</v>
      </c>
      <c r="AH59" s="130" t="s">
        <v>355</v>
      </c>
      <c r="AI59" s="131" t="s">
        <v>359</v>
      </c>
    </row>
    <row r="60" spans="8:37">
      <c r="K60" s="44" t="s">
        <v>249</v>
      </c>
      <c r="L60" s="23"/>
      <c r="M60" s="23"/>
      <c r="N60" s="62">
        <f>N25-N59</f>
        <v>5.6937869401865324</v>
      </c>
      <c r="O60" s="20"/>
      <c r="X60" s="48" t="s">
        <v>264</v>
      </c>
      <c r="Y60" s="95"/>
      <c r="Z60" s="95"/>
      <c r="AA60" s="95"/>
      <c r="AB60" s="89"/>
      <c r="AE60" s="48" t="s">
        <v>264</v>
      </c>
      <c r="AF60" s="95"/>
      <c r="AG60" s="95"/>
      <c r="AH60" s="95"/>
      <c r="AI60" s="89"/>
    </row>
    <row r="61" spans="8:37">
      <c r="K61" s="33"/>
      <c r="L61" s="20"/>
      <c r="M61" s="20"/>
      <c r="N61" s="34"/>
      <c r="O61" s="20"/>
      <c r="X61" s="19" t="s">
        <v>265</v>
      </c>
      <c r="Y61" s="95">
        <f>AC49</f>
        <v>89540.80454545455</v>
      </c>
      <c r="Z61" s="126">
        <f>Y61/1000</f>
        <v>89.540804545454549</v>
      </c>
      <c r="AA61" s="94">
        <f>Z61/1000</f>
        <v>8.9540804545454544E-2</v>
      </c>
      <c r="AB61" s="134">
        <f>AA37/AB12</f>
        <v>0.23096609085092767</v>
      </c>
      <c r="AE61" s="19" t="s">
        <v>265</v>
      </c>
      <c r="AF61" s="95">
        <f>AJ49</f>
        <v>101906672.72727273</v>
      </c>
      <c r="AG61" s="95">
        <f>AF61/1000</f>
        <v>101906.67272727273</v>
      </c>
      <c r="AH61" s="95">
        <f>AG61/1000</f>
        <v>101.90667272727273</v>
      </c>
      <c r="AI61" s="134">
        <f>AH37/AI12</f>
        <v>0.24336283185840707</v>
      </c>
    </row>
    <row r="62" spans="8:37">
      <c r="K62" s="33"/>
      <c r="L62" s="20"/>
      <c r="M62" s="20"/>
      <c r="N62" s="59"/>
      <c r="O62" s="20"/>
      <c r="X62" s="19" t="s">
        <v>266</v>
      </c>
      <c r="Y62" s="95">
        <f t="shared" ref="Y62:Y68" si="23">AC50</f>
        <v>64734.574999999997</v>
      </c>
      <c r="Z62" s="126">
        <f t="shared" ref="Z62:AA63" si="24">Y62/1000</f>
        <v>64.734574999999992</v>
      </c>
      <c r="AA62" s="94">
        <f t="shared" si="24"/>
        <v>6.4734574999999989E-2</v>
      </c>
      <c r="AB62" s="134">
        <f>AA38/AB13</f>
        <v>0.21676430824695811</v>
      </c>
      <c r="AE62" s="19" t="s">
        <v>266</v>
      </c>
      <c r="AF62" s="95">
        <f>AJ50</f>
        <v>91999079.545454532</v>
      </c>
      <c r="AG62" s="95">
        <f t="shared" ref="AG62:AH67" si="25">AF62/1000</f>
        <v>91999.07954545453</v>
      </c>
      <c r="AH62" s="95">
        <f t="shared" si="25"/>
        <v>91.999079545454535</v>
      </c>
      <c r="AI62" s="134">
        <f t="shared" ref="AI62:AI68" si="26">AH38/AI13</f>
        <v>0.24372320881812617</v>
      </c>
    </row>
    <row r="63" spans="8:37">
      <c r="K63" s="81"/>
      <c r="L63" s="20"/>
      <c r="M63" s="20"/>
      <c r="N63" s="82"/>
      <c r="O63" s="20"/>
      <c r="X63" s="19" t="s">
        <v>267</v>
      </c>
      <c r="Y63" s="95">
        <f t="shared" si="23"/>
        <v>82538.445454545465</v>
      </c>
      <c r="Z63" s="126">
        <f t="shared" si="24"/>
        <v>82.538445454545467</v>
      </c>
      <c r="AA63" s="94">
        <f t="shared" si="24"/>
        <v>8.2538445454545473E-2</v>
      </c>
      <c r="AB63" s="134">
        <f>AA39/AB14</f>
        <v>8.9564502875924393E-2</v>
      </c>
      <c r="AE63" s="19" t="s">
        <v>267</v>
      </c>
      <c r="AF63" s="95">
        <f t="shared" ref="AF63:AF67" si="27">AJ51</f>
        <v>92595024.999999985</v>
      </c>
      <c r="AG63" s="95">
        <f t="shared" si="25"/>
        <v>92595.02499999998</v>
      </c>
      <c r="AH63" s="95">
        <f t="shared" si="25"/>
        <v>92.595024999999978</v>
      </c>
      <c r="AI63" s="134">
        <f t="shared" si="26"/>
        <v>0.24299634591961028</v>
      </c>
    </row>
    <row r="64" spans="8:37">
      <c r="K64" s="33"/>
      <c r="L64" s="20"/>
      <c r="M64" s="20"/>
      <c r="N64" s="59"/>
      <c r="O64" s="20"/>
      <c r="X64" s="48" t="s">
        <v>270</v>
      </c>
      <c r="Y64" s="95"/>
      <c r="Z64" s="126"/>
      <c r="AA64" s="94"/>
      <c r="AB64" s="134"/>
      <c r="AE64" s="48" t="s">
        <v>270</v>
      </c>
      <c r="AF64" s="105"/>
      <c r="AG64" s="116"/>
      <c r="AH64" s="116"/>
      <c r="AI64" s="134"/>
    </row>
    <row r="65" spans="11:35">
      <c r="K65" s="33"/>
      <c r="L65" s="20"/>
      <c r="M65" s="20"/>
      <c r="N65" s="34"/>
      <c r="O65" s="20"/>
      <c r="X65" s="19" t="s">
        <v>265</v>
      </c>
      <c r="Y65" s="95">
        <f>AC54</f>
        <v>27860.449999999993</v>
      </c>
      <c r="Z65" s="126">
        <f>Y65/1000</f>
        <v>27.860449999999993</v>
      </c>
      <c r="AA65" s="94">
        <f>Z65/1000</f>
        <v>2.7860449999999991E-2</v>
      </c>
      <c r="AB65" s="134">
        <f>AA42/AB17</f>
        <v>0.28007699711260831</v>
      </c>
      <c r="AE65" s="19" t="s">
        <v>265</v>
      </c>
      <c r="AF65" s="95">
        <f>AJ54</f>
        <v>23167379.545454543</v>
      </c>
      <c r="AG65" s="34">
        <f t="shared" si="25"/>
        <v>23167.379545454543</v>
      </c>
      <c r="AH65" s="95">
        <f t="shared" si="25"/>
        <v>23.167379545454544</v>
      </c>
      <c r="AI65" s="142">
        <f>AH42/AI17</f>
        <v>0.25419664268585135</v>
      </c>
    </row>
    <row r="66" spans="11:35">
      <c r="K66" s="33"/>
      <c r="L66" s="20"/>
      <c r="M66" s="20"/>
      <c r="N66" s="59"/>
      <c r="O66" s="20"/>
      <c r="X66" s="19" t="s">
        <v>266</v>
      </c>
      <c r="Y66" s="95">
        <f>AC55</f>
        <v>22347.954545454544</v>
      </c>
      <c r="Z66" s="126">
        <f>Y66/1000</f>
        <v>22.347954545454545</v>
      </c>
      <c r="AA66" s="94">
        <f>Z66/1000</f>
        <v>2.2347954545454546E-2</v>
      </c>
      <c r="AB66" s="134">
        <f>AA43/AB18</f>
        <v>0.26560587515299883</v>
      </c>
      <c r="AE66" s="19" t="s">
        <v>266</v>
      </c>
      <c r="AF66" s="95">
        <f>AJ55</f>
        <v>22720420.454545453</v>
      </c>
      <c r="AG66" s="95">
        <f t="shared" si="25"/>
        <v>22720.420454545452</v>
      </c>
      <c r="AH66" s="95">
        <f t="shared" si="25"/>
        <v>22.720420454545451</v>
      </c>
      <c r="AI66" s="134">
        <f t="shared" ref="AI66:AI67" si="28">AH43/AI18</f>
        <v>0.24691358024691359</v>
      </c>
    </row>
    <row r="67" spans="11:35">
      <c r="K67" s="81"/>
      <c r="L67" s="83"/>
      <c r="M67" s="83"/>
      <c r="N67" s="82"/>
      <c r="O67" s="20"/>
      <c r="X67" s="19" t="s">
        <v>267</v>
      </c>
      <c r="Y67" s="95">
        <f>AC56</f>
        <v>6778.8795454545461</v>
      </c>
      <c r="Z67" s="126">
        <f>Y67/1000</f>
        <v>6.7788795454545463</v>
      </c>
      <c r="AA67" s="94">
        <f>Z67/1000</f>
        <v>6.7788795454545459E-3</v>
      </c>
      <c r="AB67" s="134">
        <f>AA44/AB19</f>
        <v>0.2661290322580645</v>
      </c>
      <c r="AE67" s="19" t="s">
        <v>267</v>
      </c>
      <c r="AF67" s="95">
        <f>AJ56</f>
        <v>21975488.636363633</v>
      </c>
      <c r="AG67" s="95">
        <f t="shared" si="25"/>
        <v>21975.488636363632</v>
      </c>
      <c r="AH67" s="95">
        <f t="shared" si="25"/>
        <v>21.975488636363632</v>
      </c>
      <c r="AI67" s="134">
        <f t="shared" si="28"/>
        <v>0.2445582586427657</v>
      </c>
    </row>
    <row r="68" spans="11:35">
      <c r="K68" s="20"/>
      <c r="L68" s="20"/>
      <c r="M68" s="20"/>
      <c r="N68" s="20"/>
      <c r="O68" s="20"/>
      <c r="X68" s="127" t="s">
        <v>354</v>
      </c>
      <c r="Y68" s="128">
        <f>AVERAGE(Y61:Y67)</f>
        <v>48966.851515151509</v>
      </c>
      <c r="Z68" s="129">
        <f>AVERAGE(Z61:Z67)</f>
        <v>48.966851515151525</v>
      </c>
      <c r="AA68" s="135">
        <f>AVERAGE(AA61:AA67)</f>
        <v>4.896685151515151E-2</v>
      </c>
      <c r="AB68" s="137">
        <f>AVERAGE(AB61:AB67)</f>
        <v>0.22485113441624696</v>
      </c>
      <c r="AE68" s="127" t="s">
        <v>354</v>
      </c>
      <c r="AF68" s="128">
        <f>AVERAGE(AF61:AF67)</f>
        <v>59060677.651515149</v>
      </c>
      <c r="AG68" s="128">
        <f t="shared" ref="AG68:AH68" si="29">AVERAGE(AG61:AG67)</f>
        <v>59060.677651515143</v>
      </c>
      <c r="AH68" s="128">
        <f t="shared" si="29"/>
        <v>59.060677651515142</v>
      </c>
      <c r="AI68" s="136">
        <f>AVERAGE(AI61:AI67)</f>
        <v>0.24595847802861237</v>
      </c>
    </row>
    <row r="70" spans="11:35">
      <c r="K70" s="33"/>
    </row>
    <row r="71" spans="11:35">
      <c r="K71" s="33"/>
    </row>
    <row r="72" spans="11:35">
      <c r="K72" s="33"/>
    </row>
    <row r="73" spans="11:35">
      <c r="K73" s="33"/>
    </row>
    <row r="74" spans="11:35">
      <c r="K74" s="33"/>
    </row>
    <row r="75" spans="11:35">
      <c r="K75" s="33"/>
    </row>
    <row r="76" spans="11:35">
      <c r="K76" s="33"/>
    </row>
    <row r="77" spans="11:35">
      <c r="K77" s="33"/>
    </row>
    <row r="81" spans="11:15">
      <c r="K81" s="77" t="s">
        <v>213</v>
      </c>
      <c r="L81" s="23"/>
      <c r="M81" s="23"/>
      <c r="N81" s="23"/>
      <c r="O81" s="23"/>
    </row>
    <row r="82" spans="11:15">
      <c r="K82" s="48" t="s">
        <v>181</v>
      </c>
      <c r="L82" s="20"/>
      <c r="M82" s="20"/>
      <c r="N82" s="74" t="s">
        <v>238</v>
      </c>
      <c r="O82" s="75" t="s">
        <v>239</v>
      </c>
    </row>
    <row r="83" spans="11:15">
      <c r="K83" s="19" t="s">
        <v>226</v>
      </c>
      <c r="L83" s="20"/>
      <c r="M83" s="20"/>
      <c r="N83" s="43">
        <f>I11/N14</f>
        <v>3.3798886143367417</v>
      </c>
      <c r="O83" s="28">
        <v>7</v>
      </c>
    </row>
    <row r="84" spans="11:15">
      <c r="K84" s="19" t="s">
        <v>227</v>
      </c>
      <c r="L84" s="20"/>
      <c r="M84" s="20"/>
      <c r="N84" s="43">
        <f>I12/N15</f>
        <v>6.1391067740407372</v>
      </c>
      <c r="O84" s="28">
        <v>6</v>
      </c>
    </row>
    <row r="85" spans="11:15">
      <c r="K85" s="40" t="s">
        <v>228</v>
      </c>
      <c r="L85" s="20"/>
      <c r="M85" s="20"/>
      <c r="N85" s="43">
        <f>AVERAGE(N83:N84)</f>
        <v>4.7594976941887399</v>
      </c>
      <c r="O85" s="28">
        <v>5</v>
      </c>
    </row>
    <row r="86" spans="11:15">
      <c r="K86" s="19" t="s">
        <v>214</v>
      </c>
      <c r="L86" s="20"/>
      <c r="M86" s="20"/>
      <c r="N86" s="43">
        <f>(N85*N11)+N7</f>
        <v>81.3924654128311</v>
      </c>
      <c r="O86" s="28">
        <v>81</v>
      </c>
    </row>
    <row r="87" spans="11:15">
      <c r="K87" s="19" t="s">
        <v>215</v>
      </c>
      <c r="L87" s="20"/>
      <c r="M87" s="20"/>
      <c r="N87" s="49">
        <f>N86/60</f>
        <v>1.3565410902138517</v>
      </c>
      <c r="O87" s="28">
        <v>1.7</v>
      </c>
    </row>
    <row r="88" spans="11:15">
      <c r="K88" s="40" t="s">
        <v>217</v>
      </c>
      <c r="L88" s="33"/>
      <c r="M88" s="33"/>
      <c r="N88" s="21">
        <v>7.5</v>
      </c>
      <c r="O88" s="28">
        <v>7.5</v>
      </c>
    </row>
    <row r="89" spans="11:15">
      <c r="K89" s="40" t="s">
        <v>237</v>
      </c>
      <c r="L89" s="33"/>
      <c r="M89" s="33"/>
      <c r="N89" s="71">
        <f>N88/N87</f>
        <v>5.5287672847548341</v>
      </c>
      <c r="O89" s="70">
        <f>N89*2</f>
        <v>11.057534569509668</v>
      </c>
    </row>
    <row r="90" spans="11:15">
      <c r="K90" s="40" t="s">
        <v>230</v>
      </c>
      <c r="L90" s="33"/>
      <c r="M90" s="33"/>
      <c r="N90" s="43">
        <f>N89*I11</f>
        <v>4.2571508092612227</v>
      </c>
      <c r="O90" s="64">
        <f>O89*I11</f>
        <v>8.5143016185224454</v>
      </c>
    </row>
    <row r="91" spans="11:15">
      <c r="K91" s="40" t="s">
        <v>231</v>
      </c>
      <c r="L91" s="33"/>
      <c r="M91" s="33"/>
      <c r="N91" s="49">
        <f>N89*I12</f>
        <v>23.220822595970304</v>
      </c>
      <c r="O91" s="64">
        <f>O89*I12</f>
        <v>46.441645191940609</v>
      </c>
    </row>
    <row r="92" spans="11:15">
      <c r="K92" s="40" t="s">
        <v>232</v>
      </c>
      <c r="L92" s="33"/>
      <c r="M92" s="33"/>
      <c r="N92" s="69">
        <f>N90-I7</f>
        <v>-9.9441219180115077</v>
      </c>
      <c r="O92" s="64">
        <f>O90-I7</f>
        <v>-5.686971108750285</v>
      </c>
    </row>
    <row r="93" spans="11:15">
      <c r="K93" s="40" t="s">
        <v>233</v>
      </c>
      <c r="L93" s="33"/>
      <c r="M93" s="33"/>
      <c r="N93" s="69">
        <f>N91-I8</f>
        <v>-19.425642050494346</v>
      </c>
      <c r="O93" s="64">
        <f>O91-I8</f>
        <v>3.795180545475958</v>
      </c>
    </row>
    <row r="94" spans="11:15" ht="16" thickBot="1">
      <c r="K94" s="61" t="s">
        <v>234</v>
      </c>
      <c r="L94" s="72"/>
      <c r="M94" s="72"/>
      <c r="N94" s="68">
        <f>AVERAGE(N92:N93)</f>
        <v>-14.684881984252927</v>
      </c>
      <c r="O94" s="76">
        <f>AVERAGE(O92:O93)</f>
        <v>-0.94589528163716352</v>
      </c>
    </row>
    <row r="95" spans="11:15" ht="16" thickTop="1">
      <c r="K95" s="33"/>
      <c r="L95" s="20"/>
      <c r="M95" s="20"/>
      <c r="N95" s="20"/>
    </row>
    <row r="96" spans="11:15">
      <c r="K96" s="33"/>
      <c r="L96" s="20"/>
      <c r="M96" s="20"/>
      <c r="N96" s="34"/>
    </row>
    <row r="97" spans="11:14">
      <c r="K97" s="33"/>
      <c r="L97" s="20"/>
      <c r="M97" s="20"/>
      <c r="N97" s="34"/>
    </row>
    <row r="98" spans="11:14">
      <c r="K98" s="20"/>
      <c r="L98" s="20"/>
      <c r="M98" s="20"/>
      <c r="N98" s="20"/>
    </row>
    <row r="99" spans="11:14">
      <c r="K99" s="60"/>
      <c r="L99" s="20"/>
      <c r="M99" s="20"/>
      <c r="N99" s="20"/>
    </row>
    <row r="100" spans="11:14">
      <c r="K100" s="20"/>
      <c r="L100" s="20"/>
      <c r="M100" s="20"/>
      <c r="N100" s="34"/>
    </row>
    <row r="101" spans="11:14">
      <c r="K101" s="20"/>
      <c r="L101" s="20"/>
      <c r="M101" s="20"/>
      <c r="N101" s="34"/>
    </row>
    <row r="102" spans="11:14">
      <c r="K102" s="20"/>
      <c r="L102" s="20"/>
      <c r="M102" s="20"/>
      <c r="N102" s="34"/>
    </row>
    <row r="103" spans="11:14">
      <c r="K103" s="20"/>
      <c r="L103" s="20"/>
      <c r="M103" s="20"/>
      <c r="N103" s="34"/>
    </row>
    <row r="104" spans="11:14">
      <c r="K104" s="33"/>
      <c r="L104" s="20"/>
      <c r="M104" s="20"/>
      <c r="N104" s="20"/>
    </row>
    <row r="105" spans="11:14">
      <c r="K105" s="33"/>
      <c r="L105" s="20"/>
      <c r="M105" s="20"/>
      <c r="N105" s="35"/>
    </row>
    <row r="106" spans="11:14">
      <c r="K106" s="33"/>
      <c r="L106" s="20"/>
      <c r="M106" s="20"/>
      <c r="N106" s="35"/>
    </row>
    <row r="107" spans="11:14">
      <c r="K107" s="20"/>
      <c r="L107" s="20"/>
      <c r="M107" s="20"/>
      <c r="N107" s="20"/>
    </row>
    <row r="108" spans="11:14">
      <c r="L108" s="20"/>
      <c r="M108" s="20"/>
      <c r="N108" s="20"/>
    </row>
  </sheetData>
  <mergeCells count="6">
    <mergeCell ref="AE1:AI3"/>
    <mergeCell ref="B1:E3"/>
    <mergeCell ref="K1:O3"/>
    <mergeCell ref="H1:I3"/>
    <mergeCell ref="Q1:V3"/>
    <mergeCell ref="X1:AB3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E19 Y32:AC32 AF32:AJ32 Y68:AB68 AH68:AI68 AF68:AG6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Cleaned raw data receivers</vt:lpstr>
      <vt:lpstr>Raw data transporters</vt:lpstr>
      <vt:lpstr>Calculations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Sigurd Ur</dc:creator>
  <cp:lastModifiedBy>Ingvild Næverdal</cp:lastModifiedBy>
  <dcterms:created xsi:type="dcterms:W3CDTF">2017-02-09T12:41:26Z</dcterms:created>
  <dcterms:modified xsi:type="dcterms:W3CDTF">2017-09-01T09:40:48Z</dcterms:modified>
</cp:coreProperties>
</file>